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herbe\Dropbox\Meister 2016\aaa-Einheitenplanung\aag-Zeitverwendung DB1\"/>
    </mc:Choice>
  </mc:AlternateContent>
  <bookViews>
    <workbookView xWindow="0" yWindow="0" windowWidth="21943" windowHeight="8246" tabRatio="887" activeTab="2"/>
  </bookViews>
  <sheets>
    <sheet name="INFO" sheetId="17" r:id="rId1"/>
    <sheet name="BETRIEB" sheetId="4" r:id="rId2"/>
    <sheet name="GuV" sheetId="10" r:id="rId3"/>
    <sheet name="KA" sheetId="7" r:id="rId4"/>
    <sheet name="BZA" sheetId="9" r:id="rId5"/>
    <sheet name="ILV" sheetId="6" r:id="rId6"/>
    <sheet name="TIERE" sheetId="1" r:id="rId7"/>
    <sheet name="DÜNGER" sheetId="12" r:id="rId8"/>
    <sheet name="DIESEL" sheetId="8" r:id="rId9"/>
    <sheet name="ANLAGEN" sheetId="13" r:id="rId10"/>
    <sheet name="SCHLÜSSEL" sheetId="14" r:id="rId11"/>
    <sheet name="KONTROLLE" sheetId="16" r:id="rId12"/>
    <sheet name="KENNZAHLEN" sheetId="11" r:id="rId13"/>
    <sheet name="INTERPRETATION" sheetId="18" r:id="rId14"/>
  </sheets>
  <calcPr calcId="171027"/>
</workbook>
</file>

<file path=xl/calcChain.xml><?xml version="1.0" encoding="utf-8"?>
<calcChain xmlns="http://schemas.openxmlformats.org/spreadsheetml/2006/main">
  <c r="B24" i="9" l="1"/>
  <c r="B16" i="7"/>
  <c r="B22" i="9" s="1"/>
  <c r="B15" i="7"/>
  <c r="D7" i="6"/>
  <c r="F7" i="6" s="1"/>
  <c r="D8" i="6"/>
  <c r="F8" i="6" s="1"/>
  <c r="D11" i="6"/>
  <c r="F11" i="6" s="1"/>
  <c r="C10" i="9" s="1"/>
  <c r="E10" i="9" s="1"/>
  <c r="I10" i="9" s="1"/>
  <c r="B6" i="7"/>
  <c r="B11" i="9"/>
  <c r="F11" i="9" s="1"/>
  <c r="I11" i="9" s="1"/>
  <c r="B7" i="7"/>
  <c r="B12" i="9"/>
  <c r="F12" i="9" s="1"/>
  <c r="I12" i="9" s="1"/>
  <c r="F9" i="6"/>
  <c r="C13" i="9"/>
  <c r="F13" i="9" s="1"/>
  <c r="I13" i="9" s="1"/>
  <c r="B8" i="7"/>
  <c r="B14" i="9"/>
  <c r="F14" i="9" s="1"/>
  <c r="I14" i="9" s="1"/>
  <c r="B9" i="7"/>
  <c r="B15" i="9"/>
  <c r="G15" i="9" s="1"/>
  <c r="I15" i="9" s="1"/>
  <c r="B10" i="7"/>
  <c r="B17" i="9" s="1"/>
  <c r="H17" i="9" s="1"/>
  <c r="I17" i="9" s="1"/>
  <c r="B11" i="7"/>
  <c r="B12" i="7"/>
  <c r="B19" i="9" s="1"/>
  <c r="G19" i="9" s="1"/>
  <c r="I19" i="9" s="1"/>
  <c r="C9" i="14"/>
  <c r="H9" i="14" s="1"/>
  <c r="B9" i="14"/>
  <c r="F9" i="14" s="1"/>
  <c r="D9" i="14"/>
  <c r="G9" i="14" s="1"/>
  <c r="B9" i="8"/>
  <c r="D9" i="8"/>
  <c r="B7" i="8"/>
  <c r="D7" i="8" s="1"/>
  <c r="B8" i="8"/>
  <c r="D8" i="8"/>
  <c r="B10" i="8"/>
  <c r="D10" i="8" s="1"/>
  <c r="B11" i="8"/>
  <c r="D11" i="8"/>
  <c r="B12" i="8"/>
  <c r="D12" i="8" s="1"/>
  <c r="C5" i="14"/>
  <c r="H5" i="14" s="1"/>
  <c r="B5" i="14"/>
  <c r="D5" i="14"/>
  <c r="D57" i="11"/>
  <c r="E57" i="11"/>
  <c r="C57" i="11"/>
  <c r="F57" i="11" s="1"/>
  <c r="B57" i="11"/>
  <c r="F15" i="14"/>
  <c r="B26" i="7"/>
  <c r="B37" i="9"/>
  <c r="H37" i="9" s="1"/>
  <c r="B25" i="7"/>
  <c r="B36" i="9" s="1"/>
  <c r="M32" i="13"/>
  <c r="M33" i="13"/>
  <c r="N33" i="13"/>
  <c r="O33" i="13"/>
  <c r="T26" i="13"/>
  <c r="T24" i="13"/>
  <c r="S24" i="13"/>
  <c r="R24" i="13"/>
  <c r="Q24" i="13"/>
  <c r="P24" i="13"/>
  <c r="O24" i="13"/>
  <c r="N24" i="13"/>
  <c r="M24" i="13"/>
  <c r="G28" i="13"/>
  <c r="G29" i="13"/>
  <c r="T29" i="13" s="1"/>
  <c r="R9" i="13"/>
  <c r="S9" i="13"/>
  <c r="T9" i="13"/>
  <c r="Q9" i="13"/>
  <c r="N9" i="13"/>
  <c r="O9" i="13"/>
  <c r="P9" i="13"/>
  <c r="M9" i="13"/>
  <c r="G14" i="13"/>
  <c r="E28" i="13"/>
  <c r="E29" i="13"/>
  <c r="E36" i="13" s="1"/>
  <c r="E30" i="13"/>
  <c r="E32" i="13"/>
  <c r="E34" i="13"/>
  <c r="E35" i="13"/>
  <c r="H35" i="13" s="1"/>
  <c r="R35" i="13" s="1"/>
  <c r="E14" i="13"/>
  <c r="B9" i="12"/>
  <c r="G9" i="12"/>
  <c r="C24" i="12" s="1"/>
  <c r="H24" i="12" s="1"/>
  <c r="B7" i="12"/>
  <c r="B8" i="12"/>
  <c r="F8" i="12"/>
  <c r="G8" i="12"/>
  <c r="H7" i="12"/>
  <c r="H8" i="12"/>
  <c r="B10" i="12"/>
  <c r="G10" i="12" s="1"/>
  <c r="D24" i="12" s="1"/>
  <c r="B11" i="12"/>
  <c r="B12" i="12"/>
  <c r="F12" i="12" s="1"/>
  <c r="H12" i="12"/>
  <c r="B30" i="12"/>
  <c r="D28" i="6"/>
  <c r="E28" i="6" s="1"/>
  <c r="D27" i="6"/>
  <c r="E27" i="6" s="1"/>
  <c r="D26" i="6"/>
  <c r="D29" i="6" s="1"/>
  <c r="D10" i="6" s="1"/>
  <c r="F10" i="6" s="1"/>
  <c r="D25" i="6"/>
  <c r="E25" i="6" s="1"/>
  <c r="D24" i="6"/>
  <c r="E24" i="6"/>
  <c r="D23" i="6"/>
  <c r="E23" i="6" s="1"/>
  <c r="D22" i="6"/>
  <c r="E22" i="6" s="1"/>
  <c r="D21" i="6"/>
  <c r="E21" i="6" s="1"/>
  <c r="B33" i="7"/>
  <c r="B44" i="9" s="1"/>
  <c r="B32" i="7"/>
  <c r="B43" i="9" s="1"/>
  <c r="B31" i="7"/>
  <c r="B42" i="9" s="1"/>
  <c r="B30" i="7"/>
  <c r="B29" i="7"/>
  <c r="B40" i="9" s="1"/>
  <c r="B24" i="7"/>
  <c r="B23" i="7"/>
  <c r="B22" i="7"/>
  <c r="B21" i="7"/>
  <c r="B20" i="7"/>
  <c r="B28" i="9" s="1"/>
  <c r="F28" i="9" s="1"/>
  <c r="I28" i="9" s="1"/>
  <c r="B19" i="7"/>
  <c r="B18" i="7"/>
  <c r="B17" i="7"/>
  <c r="B25" i="9" s="1"/>
  <c r="B14" i="7"/>
  <c r="D14" i="10"/>
  <c r="B13" i="10" s="1"/>
  <c r="H11" i="14"/>
  <c r="P14" i="13"/>
  <c r="B14" i="10"/>
  <c r="E43" i="11"/>
  <c r="E46" i="11"/>
  <c r="B44" i="11"/>
  <c r="E41" i="11"/>
  <c r="E23" i="11"/>
  <c r="B24" i="11"/>
  <c r="F13" i="11"/>
  <c r="H22" i="12"/>
  <c r="G22" i="12"/>
  <c r="F22" i="12"/>
  <c r="F42" i="11"/>
  <c r="B30" i="1"/>
  <c r="B31" i="1"/>
  <c r="C33" i="1" s="1"/>
  <c r="D33" i="1" s="1"/>
  <c r="B32" i="1"/>
  <c r="B33" i="1"/>
  <c r="B34" i="1"/>
  <c r="C36" i="1" s="1"/>
  <c r="D36" i="1" s="1"/>
  <c r="B35" i="1"/>
  <c r="B36" i="1"/>
  <c r="B29" i="1"/>
  <c r="G27" i="13"/>
  <c r="H29" i="13"/>
  <c r="G30" i="13"/>
  <c r="H31" i="13"/>
  <c r="T31" i="13" s="1"/>
  <c r="G32" i="13"/>
  <c r="G33" i="13"/>
  <c r="H33" i="13" s="1"/>
  <c r="G34" i="13"/>
  <c r="E25" i="13"/>
  <c r="H14" i="13"/>
  <c r="T14" i="13" s="1"/>
  <c r="E12" i="13"/>
  <c r="M12" i="13" s="1"/>
  <c r="E13" i="13"/>
  <c r="O13" i="13" s="1"/>
  <c r="E10" i="13"/>
  <c r="C64" i="13"/>
  <c r="E63" i="13"/>
  <c r="F63" i="13" s="1"/>
  <c r="G63" i="13" s="1"/>
  <c r="H63" i="13" s="1"/>
  <c r="E62" i="13"/>
  <c r="F62" i="13" s="1"/>
  <c r="G62" i="13" s="1"/>
  <c r="H62" i="13" s="1"/>
  <c r="E61" i="13"/>
  <c r="F61" i="13" s="1"/>
  <c r="G61" i="13" s="1"/>
  <c r="H61" i="13"/>
  <c r="E60" i="13"/>
  <c r="F60" i="13" s="1"/>
  <c r="G60" i="13" s="1"/>
  <c r="H60" i="13" s="1"/>
  <c r="E59" i="13"/>
  <c r="F59" i="13" s="1"/>
  <c r="G59" i="13" s="1"/>
  <c r="H59" i="13"/>
  <c r="F58" i="13"/>
  <c r="E57" i="13"/>
  <c r="F57" i="13" s="1"/>
  <c r="G57" i="13" s="1"/>
  <c r="H57" i="13" s="1"/>
  <c r="E56" i="13"/>
  <c r="F56" i="13" s="1"/>
  <c r="G56" i="13" s="1"/>
  <c r="H56" i="13" s="1"/>
  <c r="E55" i="13"/>
  <c r="F55" i="13" s="1"/>
  <c r="G55" i="13"/>
  <c r="H55" i="13" s="1"/>
  <c r="E54" i="13"/>
  <c r="F54" i="13" s="1"/>
  <c r="G54" i="13" s="1"/>
  <c r="H54" i="13" s="1"/>
  <c r="E51" i="13"/>
  <c r="E11" i="13"/>
  <c r="N11" i="13" s="1"/>
  <c r="A12" i="8"/>
  <c r="A11" i="8"/>
  <c r="A10" i="8"/>
  <c r="A9" i="8"/>
  <c r="A8" i="8"/>
  <c r="A7" i="8"/>
  <c r="I21" i="9"/>
  <c r="I24" i="9"/>
  <c r="I49" i="9"/>
  <c r="A35" i="9"/>
  <c r="A34" i="9"/>
  <c r="A33" i="9"/>
  <c r="B41" i="9"/>
  <c r="B46" i="9"/>
  <c r="B49" i="9"/>
  <c r="B55" i="9" s="1"/>
  <c r="B27" i="9"/>
  <c r="F27" i="9" s="1"/>
  <c r="I27" i="9" s="1"/>
  <c r="B29" i="9"/>
  <c r="G29" i="9" s="1"/>
  <c r="I29" i="9" s="1"/>
  <c r="B32" i="9"/>
  <c r="F32" i="9" s="1"/>
  <c r="I32" i="9" s="1"/>
  <c r="B26" i="9"/>
  <c r="F26" i="9" s="1"/>
  <c r="I26" i="9" s="1"/>
  <c r="B31" i="9"/>
  <c r="F31" i="9" s="1"/>
  <c r="I31" i="9" s="1"/>
  <c r="B30" i="9"/>
  <c r="B12" i="4"/>
  <c r="E11" i="14" s="1"/>
  <c r="G11" i="14" s="1"/>
  <c r="B7" i="4"/>
  <c r="D50" i="9" s="1"/>
  <c r="H34" i="13"/>
  <c r="H30" i="13"/>
  <c r="T30" i="13" s="1"/>
  <c r="P10" i="13"/>
  <c r="M10" i="13"/>
  <c r="P11" i="13"/>
  <c r="P15" i="13" s="1"/>
  <c r="H43" i="9" s="1"/>
  <c r="M13" i="13"/>
  <c r="N13" i="13"/>
  <c r="P13" i="13"/>
  <c r="P12" i="13"/>
  <c r="G13" i="13"/>
  <c r="G10" i="13"/>
  <c r="G11" i="13"/>
  <c r="H11" i="13" s="1"/>
  <c r="Q11" i="13" s="1"/>
  <c r="B13" i="8"/>
  <c r="B21" i="9"/>
  <c r="G25" i="13"/>
  <c r="H25" i="13" s="1"/>
  <c r="T25" i="13" s="1"/>
  <c r="C34" i="9"/>
  <c r="F34" i="9" s="1"/>
  <c r="I34" i="9" s="1"/>
  <c r="H20" i="9"/>
  <c r="E32" i="11" s="1"/>
  <c r="I8" i="1"/>
  <c r="I9" i="1"/>
  <c r="J7" i="1" s="1"/>
  <c r="I10" i="1"/>
  <c r="I11" i="1"/>
  <c r="I12" i="1"/>
  <c r="I13" i="1"/>
  <c r="I14" i="1"/>
  <c r="I7" i="1"/>
  <c r="D27" i="1"/>
  <c r="F8" i="1"/>
  <c r="F9" i="1"/>
  <c r="G9" i="1" s="1"/>
  <c r="F10" i="1"/>
  <c r="F11" i="1"/>
  <c r="F12" i="1"/>
  <c r="F17" i="1" s="1"/>
  <c r="F13" i="1"/>
  <c r="F14" i="1"/>
  <c r="F7" i="1"/>
  <c r="E8" i="1"/>
  <c r="E9" i="1"/>
  <c r="E10" i="1"/>
  <c r="E11" i="1"/>
  <c r="E12" i="1"/>
  <c r="E17" i="1" s="1"/>
  <c r="E19" i="1" s="1"/>
  <c r="G54" i="9" s="1"/>
  <c r="E13" i="1"/>
  <c r="E14" i="1"/>
  <c r="E7" i="1"/>
  <c r="E15" i="1"/>
  <c r="G13" i="1"/>
  <c r="G8" i="1"/>
  <c r="G14" i="1"/>
  <c r="G42" i="9" l="1"/>
  <c r="F42" i="9"/>
  <c r="H42" i="9"/>
  <c r="I37" i="9"/>
  <c r="H38" i="9"/>
  <c r="E22" i="11" s="1"/>
  <c r="G12" i="1"/>
  <c r="E16" i="1"/>
  <c r="J12" i="1"/>
  <c r="Q10" i="13"/>
  <c r="O11" i="13"/>
  <c r="H12" i="14"/>
  <c r="G12" i="12"/>
  <c r="I12" i="12" s="1"/>
  <c r="I8" i="12"/>
  <c r="M35" i="13"/>
  <c r="D51" i="9"/>
  <c r="T10" i="13"/>
  <c r="G16" i="13"/>
  <c r="H10" i="13"/>
  <c r="B15" i="4"/>
  <c r="M11" i="13"/>
  <c r="H32" i="13"/>
  <c r="Q32" i="13" s="1"/>
  <c r="E5" i="14"/>
  <c r="S33" i="13"/>
  <c r="B27" i="7"/>
  <c r="B38" i="9" s="1"/>
  <c r="E15" i="13"/>
  <c r="H12" i="13"/>
  <c r="C35" i="9"/>
  <c r="G35" i="9" s="1"/>
  <c r="I35" i="9" s="1"/>
  <c r="T34" i="13"/>
  <c r="G5" i="14"/>
  <c r="F11" i="14"/>
  <c r="G12" i="14" s="1"/>
  <c r="B10" i="14"/>
  <c r="I27" i="13" s="1"/>
  <c r="Q27" i="13" s="1"/>
  <c r="B12" i="14"/>
  <c r="B34" i="7"/>
  <c r="B45" i="9" s="1"/>
  <c r="G11" i="1"/>
  <c r="G65" i="13"/>
  <c r="H51" i="13"/>
  <c r="H65" i="13" s="1"/>
  <c r="E64" i="13"/>
  <c r="F21" i="6"/>
  <c r="F11" i="12"/>
  <c r="G11" i="12"/>
  <c r="H11" i="12"/>
  <c r="E25" i="12" s="1"/>
  <c r="B25" i="12"/>
  <c r="H28" i="13"/>
  <c r="T28" i="13" s="1"/>
  <c r="B16" i="14"/>
  <c r="E48" i="9" s="1"/>
  <c r="G16" i="14"/>
  <c r="F48" i="9" s="1"/>
  <c r="H16" i="14"/>
  <c r="G48" i="9" s="1"/>
  <c r="I16" i="14"/>
  <c r="H48" i="9" s="1"/>
  <c r="G7" i="14"/>
  <c r="F86" i="11"/>
  <c r="G10" i="1"/>
  <c r="G10" i="14"/>
  <c r="D13" i="8"/>
  <c r="E8" i="8" s="1"/>
  <c r="H13" i="13"/>
  <c r="Q13" i="13" s="1"/>
  <c r="T11" i="13"/>
  <c r="F16" i="1"/>
  <c r="E18" i="1" s="1"/>
  <c r="G7" i="1"/>
  <c r="F15" i="1"/>
  <c r="T12" i="13"/>
  <c r="Q12" i="13"/>
  <c r="S11" i="13"/>
  <c r="J15" i="1"/>
  <c r="F7" i="14" s="1"/>
  <c r="H39" i="9"/>
  <c r="R11" i="13"/>
  <c r="E26" i="6"/>
  <c r="F26" i="6" s="1"/>
  <c r="F10" i="12"/>
  <c r="H10" i="12"/>
  <c r="D25" i="12" s="1"/>
  <c r="G25" i="12" s="1"/>
  <c r="B13" i="12"/>
  <c r="S35" i="13"/>
  <c r="Q35" i="13"/>
  <c r="T35" i="13"/>
  <c r="H10" i="14"/>
  <c r="K27" i="13" s="1"/>
  <c r="B18" i="9"/>
  <c r="F18" i="9" s="1"/>
  <c r="I18" i="9" s="1"/>
  <c r="B13" i="7"/>
  <c r="G37" i="13"/>
  <c r="G50" i="9"/>
  <c r="B8" i="16"/>
  <c r="B39" i="7"/>
  <c r="E50" i="9"/>
  <c r="Q33" i="13"/>
  <c r="T33" i="13"/>
  <c r="F7" i="12"/>
  <c r="G7" i="12"/>
  <c r="F9" i="12"/>
  <c r="H9" i="12"/>
  <c r="C25" i="12" s="1"/>
  <c r="H25" i="12" s="1"/>
  <c r="N35" i="13"/>
  <c r="O35" i="13"/>
  <c r="R33" i="13"/>
  <c r="F51" i="9"/>
  <c r="I51" i="9" s="1"/>
  <c r="F5" i="14"/>
  <c r="T27" i="13"/>
  <c r="H27" i="13"/>
  <c r="H6" i="14"/>
  <c r="K34" i="13" s="1"/>
  <c r="O34" i="13" s="1"/>
  <c r="C9" i="9"/>
  <c r="G6" i="14" l="1"/>
  <c r="E11" i="8"/>
  <c r="E25" i="11"/>
  <c r="C44" i="11"/>
  <c r="I42" i="9"/>
  <c r="C24" i="11"/>
  <c r="E24" i="12"/>
  <c r="G24" i="12" s="1"/>
  <c r="E29" i="6"/>
  <c r="H7" i="14"/>
  <c r="H8" i="14" s="1"/>
  <c r="K12" i="1"/>
  <c r="K10" i="13" s="1"/>
  <c r="D24" i="11"/>
  <c r="D44" i="11"/>
  <c r="E44" i="11"/>
  <c r="E24" i="11"/>
  <c r="T32" i="13"/>
  <c r="H37" i="13"/>
  <c r="G15" i="1"/>
  <c r="K7" i="1"/>
  <c r="J10" i="13" s="1"/>
  <c r="N10" i="13" s="1"/>
  <c r="D54" i="9"/>
  <c r="B11" i="16" s="1"/>
  <c r="F54" i="9"/>
  <c r="I54" i="9" s="1"/>
  <c r="B42" i="7" s="1"/>
  <c r="J34" i="13"/>
  <c r="F25" i="9"/>
  <c r="I48" i="9"/>
  <c r="B6" i="16" s="1"/>
  <c r="B55" i="11"/>
  <c r="B45" i="11"/>
  <c r="F16" i="9"/>
  <c r="J12" i="13"/>
  <c r="S13" i="13"/>
  <c r="C23" i="12"/>
  <c r="I9" i="12"/>
  <c r="D23" i="12"/>
  <c r="I10" i="12"/>
  <c r="R13" i="13"/>
  <c r="S27" i="13"/>
  <c r="E55" i="11"/>
  <c r="E45" i="11"/>
  <c r="E47" i="11" s="1"/>
  <c r="F84" i="11" s="1"/>
  <c r="G25" i="9"/>
  <c r="G13" i="12"/>
  <c r="B24" i="12"/>
  <c r="O27" i="13"/>
  <c r="K28" i="13"/>
  <c r="G16" i="9"/>
  <c r="G20" i="9" s="1"/>
  <c r="K12" i="13"/>
  <c r="T13" i="13"/>
  <c r="T16" i="13" s="1"/>
  <c r="E12" i="8"/>
  <c r="E10" i="8"/>
  <c r="E7" i="8"/>
  <c r="E9" i="8"/>
  <c r="F9" i="8" s="1"/>
  <c r="G8" i="14"/>
  <c r="D55" i="11"/>
  <c r="D45" i="11"/>
  <c r="H13" i="12"/>
  <c r="E23" i="12"/>
  <c r="I11" i="12"/>
  <c r="M27" i="13"/>
  <c r="I28" i="13"/>
  <c r="B28" i="7"/>
  <c r="B36" i="7" s="1"/>
  <c r="B20" i="9"/>
  <c r="E9" i="9"/>
  <c r="C20" i="9"/>
  <c r="C33" i="9"/>
  <c r="F33" i="9" s="1"/>
  <c r="I33" i="9" s="1"/>
  <c r="B6" i="14"/>
  <c r="B8" i="14"/>
  <c r="B23" i="12"/>
  <c r="I7" i="12"/>
  <c r="F13" i="12"/>
  <c r="G38" i="13"/>
  <c r="I13" i="14"/>
  <c r="F78" i="11"/>
  <c r="H16" i="13"/>
  <c r="G17" i="13" s="1"/>
  <c r="G18" i="13" s="1"/>
  <c r="D53" i="9" s="1"/>
  <c r="F50" i="9"/>
  <c r="I50" i="9" s="1"/>
  <c r="J27" i="13"/>
  <c r="S34" i="13"/>
  <c r="C45" i="11"/>
  <c r="C55" i="11"/>
  <c r="F25" i="12"/>
  <c r="C16" i="9"/>
  <c r="B31" i="12"/>
  <c r="G30" i="9" l="1"/>
  <c r="G36" i="9"/>
  <c r="E33" i="11"/>
  <c r="E34" i="11" s="1"/>
  <c r="F82" i="11" s="1"/>
  <c r="F81" i="11"/>
  <c r="R10" i="13"/>
  <c r="O10" i="13"/>
  <c r="S10" i="13"/>
  <c r="F24" i="12"/>
  <c r="F24" i="11"/>
  <c r="E26" i="12"/>
  <c r="F10" i="8"/>
  <c r="J25" i="13" s="1"/>
  <c r="F44" i="11"/>
  <c r="F40" i="9"/>
  <c r="O28" i="13"/>
  <c r="K29" i="13"/>
  <c r="S28" i="13"/>
  <c r="N34" i="13"/>
  <c r="R34" i="13"/>
  <c r="C23" i="9"/>
  <c r="C38" i="9" s="1"/>
  <c r="N27" i="13"/>
  <c r="J28" i="13"/>
  <c r="R27" i="13"/>
  <c r="I34" i="13"/>
  <c r="E25" i="9"/>
  <c r="I25" i="9" s="1"/>
  <c r="K25" i="13"/>
  <c r="K14" i="13"/>
  <c r="G40" i="9"/>
  <c r="T17" i="13"/>
  <c r="D26" i="12"/>
  <c r="G23" i="12"/>
  <c r="J32" i="13"/>
  <c r="N12" i="13"/>
  <c r="R12" i="13"/>
  <c r="F55" i="11"/>
  <c r="I13" i="12"/>
  <c r="B47" i="9"/>
  <c r="F7" i="8"/>
  <c r="E13" i="8"/>
  <c r="K32" i="13"/>
  <c r="S12" i="13"/>
  <c r="O12" i="13"/>
  <c r="F20" i="9"/>
  <c r="I16" i="9"/>
  <c r="E20" i="9"/>
  <c r="I9" i="9"/>
  <c r="F30" i="9"/>
  <c r="I30" i="9" s="1"/>
  <c r="F36" i="9"/>
  <c r="I36" i="9" s="1"/>
  <c r="B10" i="16"/>
  <c r="T38" i="13"/>
  <c r="H53" i="9" s="1"/>
  <c r="G39" i="13"/>
  <c r="D52" i="9" s="1"/>
  <c r="B26" i="12"/>
  <c r="F23" i="12"/>
  <c r="M28" i="13"/>
  <c r="I29" i="13"/>
  <c r="Q28" i="13"/>
  <c r="D32" i="11"/>
  <c r="E86" i="11"/>
  <c r="C26" i="12"/>
  <c r="H23" i="12"/>
  <c r="F45" i="11"/>
  <c r="J14" i="13" l="1"/>
  <c r="D23" i="11"/>
  <c r="D41" i="11"/>
  <c r="N14" i="13"/>
  <c r="N15" i="13" s="1"/>
  <c r="F43" i="9" s="1"/>
  <c r="R14" i="13"/>
  <c r="B86" i="11"/>
  <c r="B32" i="11"/>
  <c r="I25" i="13"/>
  <c r="F13" i="8"/>
  <c r="I14" i="13"/>
  <c r="E40" i="9"/>
  <c r="J12" i="12"/>
  <c r="J8" i="12"/>
  <c r="R16" i="13"/>
  <c r="R17" i="13" s="1"/>
  <c r="G26" i="12"/>
  <c r="K26" i="13"/>
  <c r="O25" i="13"/>
  <c r="S25" i="13"/>
  <c r="H26" i="12"/>
  <c r="B27" i="12"/>
  <c r="F26" i="12"/>
  <c r="E27" i="12" s="1"/>
  <c r="J7" i="12"/>
  <c r="J11" i="12"/>
  <c r="N28" i="13"/>
  <c r="J29" i="13"/>
  <c r="R28" i="13"/>
  <c r="J10" i="12"/>
  <c r="K10" i="12" s="1"/>
  <c r="C41" i="11"/>
  <c r="C23" i="11"/>
  <c r="M29" i="13"/>
  <c r="Q29" i="13"/>
  <c r="I30" i="13"/>
  <c r="D55" i="9"/>
  <c r="B9" i="16"/>
  <c r="E66" i="11"/>
  <c r="H55" i="9"/>
  <c r="C86" i="11"/>
  <c r="C32" i="11"/>
  <c r="D86" i="11"/>
  <c r="O32" i="13"/>
  <c r="S32" i="13"/>
  <c r="N32" i="13"/>
  <c r="R32" i="13"/>
  <c r="I20" i="9"/>
  <c r="J9" i="12"/>
  <c r="K9" i="12" s="1"/>
  <c r="O14" i="13"/>
  <c r="O15" i="13" s="1"/>
  <c r="G43" i="9" s="1"/>
  <c r="S14" i="13"/>
  <c r="S16" i="13" s="1"/>
  <c r="S17" i="13" s="1"/>
  <c r="M34" i="13"/>
  <c r="Q34" i="13"/>
  <c r="K30" i="13"/>
  <c r="O29" i="13"/>
  <c r="S29" i="13"/>
  <c r="J26" i="13"/>
  <c r="N25" i="13"/>
  <c r="R25" i="13"/>
  <c r="B28" i="12" l="1"/>
  <c r="E22" i="9" s="1"/>
  <c r="B29" i="12"/>
  <c r="E23" i="9" s="1"/>
  <c r="Q14" i="13"/>
  <c r="Q16" i="13" s="1"/>
  <c r="Q17" i="13" s="1"/>
  <c r="M14" i="13"/>
  <c r="M15" i="13" s="1"/>
  <c r="E43" i="9" s="1"/>
  <c r="I43" i="9" s="1"/>
  <c r="F32" i="11"/>
  <c r="I31" i="13"/>
  <c r="M30" i="13"/>
  <c r="Q30" i="13"/>
  <c r="R29" i="13"/>
  <c r="J30" i="13"/>
  <c r="N29" i="13"/>
  <c r="J13" i="12"/>
  <c r="K7" i="12"/>
  <c r="K13" i="12" s="1"/>
  <c r="S26" i="13"/>
  <c r="O26" i="13"/>
  <c r="K31" i="13"/>
  <c r="O30" i="13"/>
  <c r="S30" i="13"/>
  <c r="C27" i="12"/>
  <c r="M25" i="13"/>
  <c r="I26" i="13"/>
  <c r="Q25" i="13"/>
  <c r="R26" i="13"/>
  <c r="N26" i="13"/>
  <c r="E28" i="12"/>
  <c r="E29" i="12"/>
  <c r="D27" i="12"/>
  <c r="B41" i="11"/>
  <c r="B23" i="11"/>
  <c r="F23" i="11" s="1"/>
  <c r="I40" i="9"/>
  <c r="F41" i="11" l="1"/>
  <c r="Q26" i="13"/>
  <c r="M26" i="13"/>
  <c r="J31" i="13"/>
  <c r="R30" i="13"/>
  <c r="N30" i="13"/>
  <c r="D28" i="12"/>
  <c r="G27" i="12"/>
  <c r="D29" i="12"/>
  <c r="H27" i="12"/>
  <c r="C28" i="12"/>
  <c r="C29" i="12"/>
  <c r="S31" i="13"/>
  <c r="S37" i="13" s="1"/>
  <c r="S38" i="13" s="1"/>
  <c r="O31" i="13"/>
  <c r="O36" i="13" s="1"/>
  <c r="G41" i="9" s="1"/>
  <c r="F27" i="12"/>
  <c r="Q31" i="13"/>
  <c r="Q37" i="13" s="1"/>
  <c r="Q38" i="13" s="1"/>
  <c r="M31" i="13"/>
  <c r="E38" i="9"/>
  <c r="M36" i="13" l="1"/>
  <c r="E41" i="9" s="1"/>
  <c r="B43" i="11"/>
  <c r="D43" i="11"/>
  <c r="G53" i="9"/>
  <c r="G52" i="9"/>
  <c r="E53" i="9"/>
  <c r="E52" i="9"/>
  <c r="B22" i="11"/>
  <c r="E39" i="9"/>
  <c r="G28" i="12"/>
  <c r="F22" i="9" s="1"/>
  <c r="G29" i="12"/>
  <c r="F23" i="9" s="1"/>
  <c r="R31" i="13"/>
  <c r="R37" i="13" s="1"/>
  <c r="R38" i="13" s="1"/>
  <c r="N31" i="13"/>
  <c r="N36" i="13" s="1"/>
  <c r="F41" i="9" s="1"/>
  <c r="H28" i="12"/>
  <c r="G22" i="9" s="1"/>
  <c r="H29" i="12"/>
  <c r="G23" i="9" s="1"/>
  <c r="F28" i="12"/>
  <c r="F29" i="12"/>
  <c r="C43" i="11" l="1"/>
  <c r="I41" i="9"/>
  <c r="F53" i="9"/>
  <c r="I53" i="9" s="1"/>
  <c r="B41" i="7" s="1"/>
  <c r="F52" i="9"/>
  <c r="I52" i="9" s="1"/>
  <c r="B40" i="7" s="1"/>
  <c r="D46" i="11"/>
  <c r="G55" i="9"/>
  <c r="D66" i="11"/>
  <c r="D47" i="11"/>
  <c r="E84" i="11" s="1"/>
  <c r="I23" i="9"/>
  <c r="B25" i="11"/>
  <c r="G38" i="9"/>
  <c r="F38" i="9"/>
  <c r="I22" i="9"/>
  <c r="I38" i="9" s="1"/>
  <c r="I39" i="9" s="1"/>
  <c r="B46" i="11"/>
  <c r="B66" i="11"/>
  <c r="E55" i="9"/>
  <c r="B78" i="11"/>
  <c r="B13" i="14"/>
  <c r="F43" i="11"/>
  <c r="F46" i="11" l="1"/>
  <c r="B33" i="11"/>
  <c r="B81" i="11"/>
  <c r="C22" i="11"/>
  <c r="F39" i="9"/>
  <c r="B47" i="11"/>
  <c r="B43" i="7"/>
  <c r="B44" i="7" s="1"/>
  <c r="D22" i="11"/>
  <c r="D25" i="11" s="1"/>
  <c r="G39" i="9"/>
  <c r="C46" i="11"/>
  <c r="C47" i="11" s="1"/>
  <c r="C66" i="11"/>
  <c r="F55" i="9"/>
  <c r="I55" i="9" s="1"/>
  <c r="D84" i="11" l="1"/>
  <c r="C84" i="11"/>
  <c r="E81" i="11"/>
  <c r="D33" i="11"/>
  <c r="D34" i="11" s="1"/>
  <c r="E82" i="11" s="1"/>
  <c r="C78" i="11"/>
  <c r="D78" i="11"/>
  <c r="G13" i="14"/>
  <c r="F66" i="11"/>
  <c r="H13" i="14"/>
  <c r="E78" i="11"/>
  <c r="F47" i="11"/>
  <c r="B84" i="11"/>
  <c r="C25" i="11"/>
  <c r="F22" i="11"/>
  <c r="B34" i="11"/>
  <c r="B82" i="11" l="1"/>
  <c r="F13" i="14"/>
  <c r="H14" i="14" s="1"/>
  <c r="C81" i="11"/>
  <c r="D81" i="11"/>
  <c r="C33" i="11"/>
  <c r="F25" i="11"/>
  <c r="D14" i="11" l="1"/>
  <c r="G44" i="9"/>
  <c r="G45" i="9" s="1"/>
  <c r="C34" i="11"/>
  <c r="F33" i="11"/>
  <c r="I14" i="14"/>
  <c r="B14" i="14"/>
  <c r="G14" i="14"/>
  <c r="C14" i="11" l="1"/>
  <c r="F44" i="9"/>
  <c r="F45" i="9" s="1"/>
  <c r="D82" i="11"/>
  <c r="C82" i="11"/>
  <c r="F34" i="11"/>
  <c r="B14" i="11"/>
  <c r="E44" i="9"/>
  <c r="D65" i="11"/>
  <c r="G47" i="9"/>
  <c r="E14" i="11"/>
  <c r="H44" i="9"/>
  <c r="H45" i="9" s="1"/>
  <c r="E87" i="11" l="1"/>
  <c r="D67" i="11"/>
  <c r="E65" i="11"/>
  <c r="H47" i="9"/>
  <c r="I44" i="9"/>
  <c r="E45" i="9"/>
  <c r="F14" i="11"/>
  <c r="C65" i="11"/>
  <c r="F47" i="9"/>
  <c r="G56" i="9"/>
  <c r="E79" i="11"/>
  <c r="D12" i="11"/>
  <c r="D15" i="11" s="1"/>
  <c r="E83" i="11" s="1"/>
  <c r="E12" i="11" l="1"/>
  <c r="E15" i="11" s="1"/>
  <c r="F83" i="11" s="1"/>
  <c r="H56" i="9"/>
  <c r="F79" i="11"/>
  <c r="F87" i="11"/>
  <c r="E67" i="11"/>
  <c r="D54" i="11"/>
  <c r="D56" i="11" s="1"/>
  <c r="E80" i="11"/>
  <c r="I45" i="9"/>
  <c r="B65" i="11"/>
  <c r="E47" i="9"/>
  <c r="D87" i="11"/>
  <c r="C87" i="11"/>
  <c r="C67" i="11"/>
  <c r="C79" i="11"/>
  <c r="D79" i="11"/>
  <c r="C12" i="11"/>
  <c r="C15" i="11" s="1"/>
  <c r="F56" i="9"/>
  <c r="C83" i="11" l="1"/>
  <c r="D83" i="11"/>
  <c r="I47" i="9"/>
  <c r="I56" i="9" s="1"/>
  <c r="B5" i="16" s="1"/>
  <c r="B15" i="16" s="1"/>
  <c r="B79" i="11"/>
  <c r="B12" i="11"/>
  <c r="E56" i="9"/>
  <c r="E85" i="11"/>
  <c r="D58" i="11"/>
  <c r="F80" i="11"/>
  <c r="E54" i="11"/>
  <c r="E56" i="11" s="1"/>
  <c r="D80" i="11"/>
  <c r="C54" i="11"/>
  <c r="C56" i="11" s="1"/>
  <c r="C80" i="11"/>
  <c r="F65" i="11"/>
  <c r="F67" i="11" s="1"/>
  <c r="B87" i="11"/>
  <c r="B67" i="11"/>
  <c r="D85" i="11" l="1"/>
  <c r="C58" i="11"/>
  <c r="C85" i="11"/>
  <c r="F85" i="11"/>
  <c r="E58" i="11"/>
  <c r="B80" i="11"/>
  <c r="B54" i="11"/>
  <c r="B15" i="11"/>
  <c r="F12" i="11"/>
  <c r="B83" i="11" l="1"/>
  <c r="F15" i="11"/>
  <c r="B56" i="11"/>
  <c r="F54" i="11"/>
  <c r="B85" i="11" l="1"/>
  <c r="F56" i="11"/>
  <c r="F58" i="11" s="1"/>
  <c r="B58" i="11"/>
</calcChain>
</file>

<file path=xl/comments1.xml><?xml version="1.0" encoding="utf-8"?>
<comments xmlns="http://schemas.openxmlformats.org/spreadsheetml/2006/main">
  <authors>
    <author>Leopold.KIRNER</author>
  </authors>
  <commentList>
    <comment ref="J10" authorId="0" shapeId="0">
      <text>
        <r>
          <rPr>
            <b/>
            <sz val="9"/>
            <color indexed="81"/>
            <rFont val="Tahoma"/>
            <family val="2"/>
          </rPr>
          <t>Leopold.KIRNER:</t>
        </r>
        <r>
          <rPr>
            <sz val="9"/>
            <color indexed="81"/>
            <rFont val="Tahoma"/>
            <family val="2"/>
          </rPr>
          <t xml:space="preserve">
GVE Schlüssel
</t>
        </r>
      </text>
    </comment>
    <comment ref="J12" authorId="0" shapeId="0">
      <text>
        <r>
          <rPr>
            <b/>
            <sz val="9"/>
            <color indexed="81"/>
            <rFont val="Tahoma"/>
            <family val="2"/>
          </rPr>
          <t>Leopold.KIRNER:</t>
        </r>
        <r>
          <rPr>
            <sz val="9"/>
            <color indexed="81"/>
            <rFont val="Tahoma"/>
            <family val="2"/>
          </rPr>
          <t xml:space="preserve">
Schlüssel nach Gülleanfall</t>
        </r>
      </text>
    </comment>
    <comment ref="I14" authorId="0" shapeId="0">
      <text>
        <r>
          <rPr>
            <b/>
            <sz val="9"/>
            <color indexed="81"/>
            <rFont val="Tahoma"/>
            <family val="2"/>
          </rPr>
          <t>Leopold.KIRNER:</t>
        </r>
        <r>
          <rPr>
            <sz val="9"/>
            <color indexed="81"/>
            <rFont val="Tahoma"/>
            <family val="2"/>
          </rPr>
          <t xml:space="preserve">
Schlüssen nach Dieselkosten</t>
        </r>
      </text>
    </comment>
    <comment ref="I25" authorId="0" shapeId="0">
      <text>
        <r>
          <rPr>
            <b/>
            <sz val="9"/>
            <color indexed="81"/>
            <rFont val="Tahoma"/>
            <family val="2"/>
          </rPr>
          <t>Leopold.KIRNER:</t>
        </r>
        <r>
          <rPr>
            <sz val="9"/>
            <color indexed="81"/>
            <rFont val="Tahoma"/>
            <family val="2"/>
          </rPr>
          <t xml:space="preserve">
nach Schlüssel
Dieselverbrauch</t>
        </r>
      </text>
    </comment>
    <comment ref="I27" authorId="0" shapeId="0">
      <text>
        <r>
          <rPr>
            <b/>
            <sz val="9"/>
            <color indexed="81"/>
            <rFont val="Tahoma"/>
            <family val="2"/>
          </rPr>
          <t>Leopold.KIRNER:</t>
        </r>
        <r>
          <rPr>
            <sz val="9"/>
            <color indexed="81"/>
            <rFont val="Tahoma"/>
            <family val="2"/>
          </rPr>
          <t xml:space="preserve">
Ackerflächenschlüsse
</t>
        </r>
      </text>
    </comment>
    <comment ref="J32" authorId="0" shapeId="0">
      <text>
        <r>
          <rPr>
            <b/>
            <sz val="9"/>
            <color indexed="81"/>
            <rFont val="Tahoma"/>
            <family val="2"/>
          </rPr>
          <t>Leopold.KIRNER:</t>
        </r>
        <r>
          <rPr>
            <sz val="9"/>
            <color indexed="81"/>
            <rFont val="Tahoma"/>
            <family val="2"/>
          </rPr>
          <t xml:space="preserve">
GVE-Schlüssel</t>
        </r>
      </text>
    </comment>
    <comment ref="I34" authorId="0" shapeId="0">
      <text>
        <r>
          <rPr>
            <b/>
            <sz val="9"/>
            <color indexed="81"/>
            <rFont val="Tahoma"/>
            <family val="2"/>
          </rPr>
          <t>Leopold.KIRNER:</t>
        </r>
        <r>
          <rPr>
            <sz val="9"/>
            <color indexed="81"/>
            <rFont val="Tahoma"/>
            <family val="2"/>
          </rPr>
          <t xml:space="preserve">
Flächenschlüssel</t>
        </r>
      </text>
    </comment>
  </commentList>
</comments>
</file>

<file path=xl/sharedStrings.xml><?xml version="1.0" encoding="utf-8"?>
<sst xmlns="http://schemas.openxmlformats.org/spreadsheetml/2006/main" count="622" uniqueCount="415">
  <si>
    <t>Der Betriebsleiter bzw. die Betriebsleiterin könnte sich die Frage stellen, ob die Aufgabe von Betriebszweigen das Betriebsergebnis verbessern würde. Zur Beantwortung dieser Frage hilft der Deckungsbeitrag. Betriebszweige mit einem positiven Deckungsbeitrag tragen zur Abdeckung der Fixkosten bei. Das trifft im vorliegenden Beispiel für alle Betriebszweige außer der Stiermast zu; Wie schon oben ausgeführt, würde somit eine Aufgabe der Stiermast das Betriebsergebnis verbessern. Bei den anderen drei Betriebszweigen gilt: Solange die Fixkosten nicht verringert werden können, trägt ein Betriebszweig mit einem positiven Deckungsbeitrag zu den Einkünften bei. Ob die freiwerdenden Kapazitäten bei Aufgabe eines oder mehrerer Betriebszweige durch andere Betriebszweige wirtschaftlicher genutzt werden könnten, lässt sich nur teilweise aus den Ergebnissen der Betriebszweigabrechnung prüfen (zB Veränderung der Ackerflächennutzung). Bei komplexeren Fragestellungen sind umfangreichere Planungsrechnungen erforderlich.</t>
  </si>
  <si>
    <t xml:space="preserve">Das negative kalkulatorische Betriebsergebnis besagt, dass im Abrechnungsjahr die Gesamtkosten nicht voll entlohnt wurden. Trotzdem besteht für den Betrieb auch ohne außerbetriebliche Einkünfte eine Überlebenschance, wenn die Schuldzinsen, das Ausgedinge, die Beiträge der SVB und die Entnahme für den Privatverbrauch niedriger sind als die Einkünfte aus der Land- und Forstwirtschaft. Können die angeführten Ausgaben nicht gedeckt werden, sind außerlandwirtschaftliche Einkünfte zur Abdeckung des Fehlbetrags notwendig, ansonsten kommt es zu einer Verringerung des Betriebsvermögens (Eigenkapital). </t>
  </si>
  <si>
    <t>Wie kann der Betrieb bei einem negativen kalkulatorischen Betriebsergebnis überleben?</t>
  </si>
  <si>
    <t>Kann das Einkommen erhöht werden?</t>
  </si>
  <si>
    <t xml:space="preserve">Zur Beantwortung dieser Frage sind die Möglichkeiten zur Verbesserung der Produktionstechnik zu prüfen, um die fixen und variablen Kosten zu senken bzw. die Leistungen zu erhöhen. Die Kostenrechnung nach Betriebszweigen weist eine Reihe von Kennzahlen aus, die zur Analyse der Produktionstechnik geeignet sind. Zwischenbetriebliche Vergleiche sind hilfreich für das Erkennen von Verbesserungspotenzialen. Besonders gut eignen sich dazu die Kennzahlen je Bezugsgrößeneinheit. Beim zwischenbetrieblichen Vergleich ist zu prüfen, ob die gewählten Kennzahlen nach einem einheitlichen Schema berechnet wurden. </t>
  </si>
  <si>
    <t>Neben der Verbesserung der Produktionstechnik und Veränderung der Kostenstruktur können die Änderung des Produktionsprogramms, die Ausweitung bestehender und die Aufnahme neuer Betriebszweige die Einkünfte aus Land- und Forstwirtschaft erhöhen. Um solche Fragen zu erörtern, sind umfangreiche gesamtbetriebliche Planungsrechnungen erforderlich.</t>
  </si>
  <si>
    <t>Interpretation der errechneten Ergebnisse; siehe "INTERPRETATION"</t>
  </si>
  <si>
    <r>
      <rPr>
        <sz val="11"/>
        <color theme="1"/>
        <rFont val="Calibri"/>
        <family val="2"/>
        <scheme val="minor"/>
      </rPr>
      <t xml:space="preserve">Ø Viehvermögen Milchproduktion </t>
    </r>
  </si>
  <si>
    <r>
      <t>Ø</t>
    </r>
    <r>
      <rPr>
        <sz val="11"/>
        <color theme="1"/>
        <rFont val="Calibri"/>
        <family val="2"/>
        <scheme val="minor"/>
      </rPr>
      <t xml:space="preserve"> Viehvermögen Stiermast </t>
    </r>
  </si>
  <si>
    <t>Milchkühe</t>
  </si>
  <si>
    <t>Kalbinnen über 2 Jahre</t>
  </si>
  <si>
    <t>Weibliches Jungvieh 1-2 Jahre</t>
  </si>
  <si>
    <t>Weibliches Jungvieh 6 Monate bis 1 Jahr</t>
  </si>
  <si>
    <t>Weibliche Kälber bis 6 Monate</t>
  </si>
  <si>
    <t>Männliches Jungvieh 1-2 Jahre</t>
  </si>
  <si>
    <t>Männliches Jungvieh 6 Monate bis 1 Jahr</t>
  </si>
  <si>
    <t>Männliche Kälber bis 6 Monate</t>
  </si>
  <si>
    <t>Stück</t>
  </si>
  <si>
    <t>Wert</t>
  </si>
  <si>
    <t>GVE</t>
  </si>
  <si>
    <t>Ø GVE</t>
  </si>
  <si>
    <t>Milchverkauf</t>
  </si>
  <si>
    <t>Kälberverkauf</t>
  </si>
  <si>
    <t>Kuhverkauf</t>
  </si>
  <si>
    <t>Stierverkauf</t>
  </si>
  <si>
    <t>Urlaub am Bauernhof</t>
  </si>
  <si>
    <t>Schuldzinsen</t>
  </si>
  <si>
    <t>Strom</t>
  </si>
  <si>
    <t>AfA Gebäude</t>
  </si>
  <si>
    <t>AfA Maschinen</t>
  </si>
  <si>
    <t>Ackerland</t>
  </si>
  <si>
    <t>Grünland</t>
  </si>
  <si>
    <t>Landwirtschaftlich gen. Fläche</t>
  </si>
  <si>
    <t>Bezeichnung</t>
  </si>
  <si>
    <t>ha</t>
  </si>
  <si>
    <t>Hektar</t>
  </si>
  <si>
    <t xml:space="preserve">  Silage</t>
  </si>
  <si>
    <t xml:space="preserve">  Heu</t>
  </si>
  <si>
    <t>Saatgut</t>
  </si>
  <si>
    <t xml:space="preserve">  Silomais</t>
  </si>
  <si>
    <t xml:space="preserve">  Tritikale</t>
  </si>
  <si>
    <t xml:space="preserve">  Gerste</t>
  </si>
  <si>
    <t xml:space="preserve">  Kleegras</t>
  </si>
  <si>
    <t>Euro</t>
  </si>
  <si>
    <t>Summe</t>
  </si>
  <si>
    <t>Milchleistungsfutter</t>
  </si>
  <si>
    <t>Grundfutterzukauf</t>
  </si>
  <si>
    <t>Tiergesundheit</t>
  </si>
  <si>
    <t>Besamungskosten</t>
  </si>
  <si>
    <t>Kraftfutter für Jungvieh</t>
  </si>
  <si>
    <t>Minderwert Vieh</t>
  </si>
  <si>
    <t>Eigenverbrauch Milch</t>
  </si>
  <si>
    <t>Direktleistungen</t>
  </si>
  <si>
    <t>Pflanzenschutzmittel</t>
  </si>
  <si>
    <t>Handelsdünger</t>
  </si>
  <si>
    <t>Sonstige Direktkosten Boden</t>
  </si>
  <si>
    <t>Betriebs- und Reparaturkosten</t>
  </si>
  <si>
    <t>- Direktkosten</t>
  </si>
  <si>
    <t>= Direktkostenfreie Leistung</t>
  </si>
  <si>
    <t>- Übrige Vorleistungskosten</t>
  </si>
  <si>
    <t>= Faktorentlohnung</t>
  </si>
  <si>
    <t>Lohnansatz</t>
  </si>
  <si>
    <t>+ Gemeinleistungen</t>
  </si>
  <si>
    <t>Pachtkosten</t>
  </si>
  <si>
    <t>Zinsansatz Maschinen</t>
  </si>
  <si>
    <t>Zinsansatz Gebäude</t>
  </si>
  <si>
    <t>Zinsansatz Viehvermögen</t>
  </si>
  <si>
    <t>- Faktorkosten</t>
  </si>
  <si>
    <t>= Kalkulatorisches Betriebsergebnis</t>
  </si>
  <si>
    <t>GuV</t>
  </si>
  <si>
    <t>Kalk. Werte</t>
  </si>
  <si>
    <t>Innerb. Verr.</t>
  </si>
  <si>
    <t>Datengrundlage</t>
  </si>
  <si>
    <t>Getreide</t>
  </si>
  <si>
    <t>Rinder-mast</t>
  </si>
  <si>
    <t>Betriebszweige</t>
  </si>
  <si>
    <t>Summe Betrieb</t>
  </si>
  <si>
    <t>Milch-kuh-haltung</t>
  </si>
  <si>
    <t>Urlaub am Bau-ernhof</t>
  </si>
  <si>
    <t>GVE-Schlüssel</t>
  </si>
  <si>
    <t xml:space="preserve">Tritikale </t>
  </si>
  <si>
    <t>Gerste</t>
  </si>
  <si>
    <t>Männliche Kälber</t>
  </si>
  <si>
    <t>Gülle</t>
  </si>
  <si>
    <t>Stroh</t>
  </si>
  <si>
    <t>Abgebender Betriebszweig</t>
  </si>
  <si>
    <t>Milchkuhhaltung</t>
  </si>
  <si>
    <t>Getreide-bau</t>
  </si>
  <si>
    <t>Getreidebau</t>
  </si>
  <si>
    <t>Milchkuhhaltung, Rindermast</t>
  </si>
  <si>
    <t>Einheit</t>
  </si>
  <si>
    <t>kg</t>
  </si>
  <si>
    <t>m³</t>
  </si>
  <si>
    <t>Menge</t>
  </si>
  <si>
    <t>je Einheit</t>
  </si>
  <si>
    <t>gesamt</t>
  </si>
  <si>
    <t>Wertansatz in Euro</t>
  </si>
  <si>
    <t>Gülle (m³)</t>
  </si>
  <si>
    <t>N</t>
  </si>
  <si>
    <t>P</t>
  </si>
  <si>
    <t>K</t>
  </si>
  <si>
    <t>Tierart</t>
  </si>
  <si>
    <t>Tritikale</t>
  </si>
  <si>
    <t>Silomais</t>
  </si>
  <si>
    <t>Kleegras</t>
  </si>
  <si>
    <t>Grünland Silage</t>
  </si>
  <si>
    <t>Grünland Heu</t>
  </si>
  <si>
    <t>Gesamt</t>
  </si>
  <si>
    <t>Nährstoffbedarf gesamt</t>
  </si>
  <si>
    <t>Nährstoffbedarf je ha</t>
  </si>
  <si>
    <t>Verfahren</t>
  </si>
  <si>
    <t>Prozent</t>
  </si>
  <si>
    <t>je Kultur</t>
  </si>
  <si>
    <t>je BZ</t>
  </si>
  <si>
    <t>Ø Bestand</t>
  </si>
  <si>
    <t>Gülle (m³) je Stück</t>
  </si>
  <si>
    <t>Summen</t>
  </si>
  <si>
    <t>Wirtschaftsdünger</t>
  </si>
  <si>
    <t>Kälber Überstellung</t>
  </si>
  <si>
    <t>Sonstiges Tierhaltung</t>
  </si>
  <si>
    <t>Kultur</t>
  </si>
  <si>
    <t>Anschaffung</t>
  </si>
  <si>
    <t>Anschaf-fungs-kosten</t>
  </si>
  <si>
    <t>Nutzungs-dauer</t>
  </si>
  <si>
    <t>Abschrei-bung pro Jahr</t>
  </si>
  <si>
    <t>AfA bis 31.12.09</t>
  </si>
  <si>
    <t>Wert am 1.01.10</t>
  </si>
  <si>
    <t>Wert am 31.12.10</t>
  </si>
  <si>
    <t>Güllegrube</t>
  </si>
  <si>
    <t>Maschinenhalle</t>
  </si>
  <si>
    <t>Abschreibung 2010</t>
  </si>
  <si>
    <t>Buchwerte</t>
  </si>
  <si>
    <t>Allradtraktor 110 PS</t>
  </si>
  <si>
    <t>Allradtraktor 85 PS</t>
  </si>
  <si>
    <t>Hinterradtraktor</t>
  </si>
  <si>
    <t>Pflug</t>
  </si>
  <si>
    <t>Saatbettkombination</t>
  </si>
  <si>
    <t>Sämaschine</t>
  </si>
  <si>
    <t>Pflanzenschutzgerät</t>
  </si>
  <si>
    <t>Düngerstreuer</t>
  </si>
  <si>
    <t>Güllefass</t>
  </si>
  <si>
    <t>Güllerührwerk</t>
  </si>
  <si>
    <t>Kippanhänger</t>
  </si>
  <si>
    <t>Gülleverteilgerät</t>
  </si>
  <si>
    <t>Ladewagen</t>
  </si>
  <si>
    <t>Wert am 1.01.</t>
  </si>
  <si>
    <t>Wert am 31.12.</t>
  </si>
  <si>
    <t>Abschreibung</t>
  </si>
  <si>
    <t>Pachtansatz eigenes Land</t>
  </si>
  <si>
    <t>Direktkosten UaB</t>
  </si>
  <si>
    <t>Verwaltung</t>
  </si>
  <si>
    <t>Ge-treide-bau</t>
  </si>
  <si>
    <t>Jungrinderverkauf</t>
  </si>
  <si>
    <t>= Kalkulatorisches Ergebnis</t>
  </si>
  <si>
    <t>Weibl. Jungvieh 6 Mon. bis 1 Jahr</t>
  </si>
  <si>
    <t>Männl. Jungvieh 6 Mon. bis 1 Jahr</t>
  </si>
  <si>
    <t>Kategorie</t>
  </si>
  <si>
    <t>Stier-mast</t>
  </si>
  <si>
    <t>Fläche</t>
  </si>
  <si>
    <t xml:space="preserve">  Stickstoff</t>
  </si>
  <si>
    <t xml:space="preserve">  Phosphor</t>
  </si>
  <si>
    <t xml:space="preserve">  Kalium</t>
  </si>
  <si>
    <t>Standardkosten gesamt</t>
  </si>
  <si>
    <t>Anteile Standardkosten</t>
  </si>
  <si>
    <t>Handelsdüngerkosten</t>
  </si>
  <si>
    <t>Wirtschaftsdüngerkosten</t>
  </si>
  <si>
    <t>Silo-mais</t>
  </si>
  <si>
    <t>Klee-gras</t>
  </si>
  <si>
    <t>Grün-land</t>
  </si>
  <si>
    <t>Umlagekostenstellen</t>
  </si>
  <si>
    <t>Kosten Milchgewinnung</t>
  </si>
  <si>
    <t>Milchkuh-haltung</t>
  </si>
  <si>
    <t>Getrei-debau</t>
  </si>
  <si>
    <t>Liter je ha</t>
  </si>
  <si>
    <t>Liter gesamt</t>
  </si>
  <si>
    <t>Faktorentlohnung</t>
  </si>
  <si>
    <t>Beitrag zu den Einkünften aus Land- und Forstwirtschaft</t>
  </si>
  <si>
    <t>- Pachtkosten</t>
  </si>
  <si>
    <t>- Schuldzinsen</t>
  </si>
  <si>
    <t>Beitrag Einkünfte</t>
  </si>
  <si>
    <t>Variable Kosten</t>
  </si>
  <si>
    <t>Direktkosten</t>
  </si>
  <si>
    <t>+ Treibstoffkosten</t>
  </si>
  <si>
    <t>+ Stromkosten</t>
  </si>
  <si>
    <t>Deckungsbeitrag</t>
  </si>
  <si>
    <t>- variable Kosten</t>
  </si>
  <si>
    <t>Arbeitserledigungskosten</t>
  </si>
  <si>
    <t>Betriebs-Reparaturk.</t>
  </si>
  <si>
    <t>+ Lohnmaschinen</t>
  </si>
  <si>
    <t>+ AfA Maschinen</t>
  </si>
  <si>
    <t>+ Strom</t>
  </si>
  <si>
    <t>+ Zinsansatz Maschinen</t>
  </si>
  <si>
    <t>+ Lohnansatz</t>
  </si>
  <si>
    <t>Arbeitsertrag</t>
  </si>
  <si>
    <t>Kalkulatorisches Ergebnis</t>
  </si>
  <si>
    <t>= Arbeitsertrag</t>
  </si>
  <si>
    <t xml:space="preserve">   Arbeitskraftstunden</t>
  </si>
  <si>
    <t>= Arbeitsertrag je AKh</t>
  </si>
  <si>
    <t>Anteil der kalk. Kosten an den Gesamtkosten</t>
  </si>
  <si>
    <t>Anteil kalk. Kosten (%)</t>
  </si>
  <si>
    <t>Gesamtkosten (€)</t>
  </si>
  <si>
    <t>Kalkulatorische Kosten (€)</t>
  </si>
  <si>
    <t>Kennzahlen je Bezugsgröße</t>
  </si>
  <si>
    <t>Direktkostenfreie Leistung</t>
  </si>
  <si>
    <t>Bezugsgröße</t>
  </si>
  <si>
    <t>Kalk. Betriebszweigergebnis</t>
  </si>
  <si>
    <t>Gesamtleistungen</t>
  </si>
  <si>
    <t>Gesamtkosten</t>
  </si>
  <si>
    <t>100 kg Milch</t>
  </si>
  <si>
    <t>Beitrag zu den Einkünften</t>
  </si>
  <si>
    <t>Betriebszweigabrechnung</t>
  </si>
  <si>
    <r>
      <t xml:space="preserve">Grundlage für den Beispielsbetrieb ist die Gewinn- und Verlustrechnung aus der Unterlage </t>
    </r>
    <r>
      <rPr>
        <i/>
        <sz val="12"/>
        <color indexed="8"/>
        <rFont val="Calibri"/>
        <family val="2"/>
      </rPr>
      <t>Buchführung</t>
    </r>
    <r>
      <rPr>
        <sz val="12"/>
        <color indexed="8"/>
        <rFont val="Calibri"/>
        <family val="2"/>
      </rPr>
      <t xml:space="preserve">. Der Betrieb bewirtschaftet insgesamt 22 Hektar landwirtschaftlich genutzte Fläche (LF), davon sieben Hektar Ackerland und 15 Hektar Grünland. Die gesamte LF ist im Eigenbesitz der Familie, der Betrieb verfügt über keinen Wald. Der Betrieb produziert Milch, mästet die männlichen Nachkommen und betreibt Ferienwohnungen. Lohnmaschinen werden keine in Anspruch genommen. Öffentliche Gelder werden nicht berücksichtigt, da sich diese im Laufe der Zeit häufig ändern (Tabelle 1).  </t>
    </r>
  </si>
  <si>
    <t>Tabelle 1: Eckdaten des Beispielbetriebs</t>
  </si>
  <si>
    <t>Gepachtete Ackerfläche</t>
  </si>
  <si>
    <t>Gepachtetes Grünland</t>
  </si>
  <si>
    <t>Wert-ansatz (€/St.)</t>
  </si>
  <si>
    <t>Wert-änderung in €</t>
  </si>
  <si>
    <t>Schlüssel nach GVE in %</t>
  </si>
  <si>
    <t>Tiere und GVE-Schlüssel</t>
  </si>
  <si>
    <t xml:space="preserve">Das Lebensalter bzw. Gewicht der Tiere bei der Überstellung von einem Betriebszweig in einen anderen bestimmt die Höhe des Wertansatzes. Für den zwischenbetrieblichen Vergleich muss die Überstellung einheitlich erfolgen. In unserem Beispielsbetrieb ist die Überstellung von männlichen Kälbern von der Milchkuhhaltung an die Stiermast zu erfassen. Der Wertansatz je Kalb orientiert sich am möglichen Verkaufserlös (loco Hof) zu Mastbeginn.                                                 Wenn die Nachzucht als eigener Betriebszweig geführt wird (in unserem Beispiel nicht der Fall), müssten auch die Überstellungen von den Milchkühen zur Nachzucht (Kälber) bzw. umgekehrt (Kalbinnen) erfasst werden. </t>
  </si>
  <si>
    <t>Gewinn- und Verlustrechnung (GuV)</t>
  </si>
  <si>
    <t>Bodennutzung</t>
  </si>
  <si>
    <t>Tiere, UaB, Verwaltung</t>
  </si>
  <si>
    <t>Stiermast</t>
  </si>
  <si>
    <t>Abschreibung Gebäude</t>
  </si>
  <si>
    <t>Abschreibung Maschinen</t>
  </si>
  <si>
    <r>
      <t xml:space="preserve">Basis für die Betriebszweigabrechnung ist die Gewinn- und Verlustrechnung (GuV) aus der Unterlage </t>
    </r>
    <r>
      <rPr>
        <i/>
        <sz val="12"/>
        <color indexed="8"/>
        <rFont val="Calibri"/>
        <family val="2"/>
      </rPr>
      <t>Buchführung</t>
    </r>
    <r>
      <rPr>
        <sz val="12"/>
        <color indexed="8"/>
        <rFont val="Calibri"/>
        <family val="2"/>
      </rPr>
      <t xml:space="preserve">; die folgende Tabelle listet diese noch einmal auf. Natürlich handelt es sich hier um eine einfache und komprimierte Darstellung, in der Sammelposten gebildet wurden (mehrere Konten zusammengefasst). </t>
    </r>
  </si>
  <si>
    <t>Aufwand</t>
  </si>
  <si>
    <t>Ertrag</t>
  </si>
  <si>
    <t>(1) Saatgut</t>
  </si>
  <si>
    <t>(1) Milchverkauf</t>
  </si>
  <si>
    <t>(2) Handelsdünger</t>
  </si>
  <si>
    <t>(2) Eigenverbrauch Milch</t>
  </si>
  <si>
    <t>(3) Pflanzenschutz</t>
  </si>
  <si>
    <t>(3) Jungrinderverkauf</t>
  </si>
  <si>
    <t>(4) Treibstoffe</t>
  </si>
  <si>
    <t>(4) Kuhverkauf</t>
  </si>
  <si>
    <t>(5) Sonstiges Boden</t>
  </si>
  <si>
    <t>(5) Stierverkauf</t>
  </si>
  <si>
    <t>(6) Grundfutterzukauf</t>
  </si>
  <si>
    <t>(6) Minderwert Stiere</t>
  </si>
  <si>
    <t>(7) Milchleistungsfutter</t>
  </si>
  <si>
    <t>(7) Ertrag UaB</t>
  </si>
  <si>
    <t>(8) Kraftfutter Jungvieh</t>
  </si>
  <si>
    <t>(9) Kraftfutter Stiere</t>
  </si>
  <si>
    <t>(10) Tiergesundheit</t>
  </si>
  <si>
    <t>(11) Besamungskosten</t>
  </si>
  <si>
    <t>(12) Kosten Milchgewinnung</t>
  </si>
  <si>
    <t>(13) Sonstiges Tierhaltung</t>
  </si>
  <si>
    <t>(14) Aufwand UaB</t>
  </si>
  <si>
    <t>(15) Verwaltung</t>
  </si>
  <si>
    <t>(16) Schuldzinsen</t>
  </si>
  <si>
    <t>(17) Strom</t>
  </si>
  <si>
    <t>(18) AfA Gebäude</t>
  </si>
  <si>
    <t>(19) AfA Maschinen</t>
  </si>
  <si>
    <t>GuV in Euro</t>
  </si>
  <si>
    <t>GuV in Euro detailliert</t>
  </si>
  <si>
    <t xml:space="preserve">Für die Betriebszweigabrechnung reicht diese komprimierte Darstellung nicht aus, es werden alle wesentlichen Posten der Gewinn- und Verlustrechnung benötigt. Daher schlüsselt die folgende Tabelle alle wesentlichen Positionen der Gewinn- und Verlustrechnung weiter auf, ohne dass das Gesamtergebnis verändert wurde. </t>
  </si>
  <si>
    <t xml:space="preserve">Beispielsweise setzt sich der Aufwand für die Bodennutzung aus den Posten 1 (Saatgut) bis 5 (Sonstiges Boden) zusammen, in Summe 4.500 Euro. Oder jener für Tiere, UaB und Verwaltung umfasst die Posten 6 bis 15 (25.000 Euro). Der Ertrag für die Milchkuhhaltung resultiert aus der Summe der Posten 1 bis 4 auf der Seite des Ertrags (gesamt 44.290 Euro). </t>
  </si>
  <si>
    <t>Bis auf die Schuldzinsen kann der gesamte Aufwand als Kosten verrechnet werden. Eine Verrechnung der Schuldzinsen würde eine Verteilung des Eigen- und Fremdkapitals auf die einzelnen Betriebszweige voraussetzen. Da dies nicht möglich ist, erfolgt die Verrechnung der Kosten für das in Maschinen, Gebäuden und Vieh gebundene Kapital (Eigen- und Fremdkapital) mit einem einheitlichen Kalku­lationszinssatz. Für das in den Vorräten gebundene Kapital werden zur Vereinfachung keine kalkulatorischen Zinsen verrechnet.</t>
  </si>
  <si>
    <t>Saldo (Einkünfte LuF)</t>
  </si>
  <si>
    <t>Kostenartenrechnung</t>
  </si>
  <si>
    <t xml:space="preserve">Ausgehend von der Gewinn- und Verlustrechnung werden die Leistungs- und Kostenarten im Rahmen einer Kostenartenrechnung aufgelistet (siehe folgende Tabelle). Und zwar schon nach dem Schema der vorliegenden Betriebszweigabrechnung mit den dafür definierten Leistungs- und Kostenbegriffen sowie den verwendeten Kennzahlen. Die Reihenfolge der Leistungen und Kosten unterscheidet sich geringfügig von jener der Erträge und Aufwendungen laut Gewinn- und Verlustrechnung, da schon nach sachlogischen Kriterien gegliedert wurde. </t>
  </si>
  <si>
    <r>
      <t xml:space="preserve">Die </t>
    </r>
    <r>
      <rPr>
        <b/>
        <sz val="12"/>
        <color indexed="8"/>
        <rFont val="Calibri"/>
        <family val="2"/>
      </rPr>
      <t>Direktleistungen</t>
    </r>
    <r>
      <rPr>
        <sz val="12"/>
        <color indexed="8"/>
        <rFont val="Calibri"/>
        <family val="2"/>
      </rPr>
      <t xml:space="preserve"> entsprechen eins zu eins den Erträgen laut Gewinn- und Verlustrechnung, da in unserem Beispiel keine Gemeinleistungen vorliegen und keine Abgrenzungen zwischen Erträgen und Leistungen erfolgen musste.</t>
    </r>
  </si>
  <si>
    <r>
      <t xml:space="preserve">Die </t>
    </r>
    <r>
      <rPr>
        <b/>
        <sz val="12"/>
        <color indexed="8"/>
        <rFont val="Calibri"/>
        <family val="2"/>
      </rPr>
      <t>Direktkosten</t>
    </r>
    <r>
      <rPr>
        <sz val="12"/>
        <color indexed="8"/>
        <rFont val="Calibri"/>
        <family val="2"/>
      </rPr>
      <t xml:space="preserve"> umfassen die Aufwendungen laut Gewinn- und Verlustrechnung, die direkt auf Betriebszweige zugeordnet werden können. Die Kosten der Bodennutzung können entweder dem Getreidebau oder dem Futterbau (Silomais, Kleegras) zugerechnet werden. Vom Futterbau (Hilfskostenstelle) müssen diese Kosten eventuell über Hilfsrechnungen auf die Betriebszweige der Tierhaltung zugeordnet werden. Die Kosten der Tierhaltung können direkt oder über Hilfsrechnungen auf die Betriebszweige mit Tierhaltung verrechnet werden. Die Kosten für Urlaub am Bauernhof lassen sich direkt auf den Betriebszweig UaB zuordnen.</t>
    </r>
  </si>
  <si>
    <r>
      <t xml:space="preserve">Die </t>
    </r>
    <r>
      <rPr>
        <b/>
        <sz val="12"/>
        <color indexed="8"/>
        <rFont val="Calibri"/>
        <family val="2"/>
      </rPr>
      <t>übrigen Vorleistungskosten</t>
    </r>
    <r>
      <rPr>
        <sz val="12"/>
        <color indexed="8"/>
        <rFont val="Calibri"/>
        <family val="2"/>
      </rPr>
      <t xml:space="preserve"> umfassen Betriebs- und Reparaturkosten (in unserem Beispiel nur Treibstoffkosten),  Kosten für Strom, Abschreibungen sowie Kosten für Verwaltung. Die Schuldzinsen finden sich nicht darunter, da diese bei der Überleitung von der Buchhaltung zur Kostenrechnung abgegrenzt wurden. </t>
    </r>
  </si>
  <si>
    <t>Eckdaten des Beispielbetriebs</t>
  </si>
  <si>
    <r>
      <t xml:space="preserve">Für den Beispielsbetrieb wurden folgende Betriebszweige definiert: </t>
    </r>
    <r>
      <rPr>
        <b/>
        <sz val="12"/>
        <color indexed="8"/>
        <rFont val="Calibri"/>
        <family val="2"/>
      </rPr>
      <t>Getreidebau,</t>
    </r>
    <r>
      <rPr>
        <sz val="12"/>
        <color indexed="8"/>
        <rFont val="Calibri"/>
        <family val="2"/>
      </rPr>
      <t xml:space="preserve"> </t>
    </r>
    <r>
      <rPr>
        <b/>
        <sz val="12"/>
        <color indexed="8"/>
        <rFont val="Calibri"/>
        <family val="2"/>
      </rPr>
      <t>Milchkuhhaltung</t>
    </r>
    <r>
      <rPr>
        <sz val="12"/>
        <color indexed="8"/>
        <rFont val="Calibri"/>
        <family val="2"/>
      </rPr>
      <t xml:space="preserve"> (inkl. weibliche Nachzucht), </t>
    </r>
    <r>
      <rPr>
        <b/>
        <sz val="12"/>
        <color indexed="8"/>
        <rFont val="Calibri"/>
        <family val="2"/>
      </rPr>
      <t>Stiermast</t>
    </r>
    <r>
      <rPr>
        <sz val="12"/>
        <color indexed="8"/>
        <rFont val="Calibri"/>
        <family val="2"/>
      </rPr>
      <t xml:space="preserve"> und </t>
    </r>
    <r>
      <rPr>
        <b/>
        <sz val="12"/>
        <color indexed="8"/>
        <rFont val="Calibri"/>
        <family val="2"/>
      </rPr>
      <t>Urlaub am Bauernhof</t>
    </r>
    <r>
      <rPr>
        <sz val="12"/>
        <color indexed="8"/>
        <rFont val="Calibri"/>
        <family val="2"/>
      </rPr>
      <t xml:space="preserve">.  </t>
    </r>
  </si>
  <si>
    <t xml:space="preserve">Das Ergebnis der Betriebszweigabrechnung präsentiert folgende Tabelle. Zusätzlich zu den Einträgen je Betriebszweig wird auch die Herkunft der Daten (Datengrundlage) angegeben. Die letzte Spalte (Summe Betrieb) deckt sich mit den Ergebnissen der Kostenartenrechnung. </t>
  </si>
  <si>
    <r>
      <rPr>
        <b/>
        <sz val="12"/>
        <color indexed="8"/>
        <rFont val="Calibri"/>
        <family val="2"/>
      </rPr>
      <t xml:space="preserve">Direktkostenfreie Leistung     </t>
    </r>
    <r>
      <rPr>
        <sz val="12"/>
        <color indexed="8"/>
        <rFont val="Calibri"/>
        <family val="2"/>
      </rPr>
      <t xml:space="preserve">                                                                                                                                                                           Zu den Werten aus der Gewinn- und Verlustrechnung kommen noch die Wertansätze für die innerbetrieblichen Leistungen (Spalte innerbetriebliche Verrechnung) hinzu. Da die innerbetrieblichen Leistungen von einem Betriebszweig abgegeben und von einem anderen empfangen werden, entspricht in dieser Spalte die Summe der innerbetrieblichen Leistungen der Summe der innerbetrieblichen Kosten. </t>
    </r>
  </si>
  <si>
    <r>
      <rPr>
        <b/>
        <sz val="12"/>
        <color indexed="8"/>
        <rFont val="Calibri"/>
        <family val="2"/>
      </rPr>
      <t>Faktorentlohnung</t>
    </r>
    <r>
      <rPr>
        <sz val="12"/>
        <color indexed="8"/>
        <rFont val="Calibri"/>
        <family val="2"/>
      </rPr>
      <t xml:space="preserve">                                                                                                                                              Die Faktorentlohnung stellt das Entgelt für die Faktoren Arbeit, Boden, Kapital und Liefer­rechte dar. Sie wird errechnet, indem die direktkostenfreie Leistung um die übrigen Vor­leistungskosten vermindert und um die Gemeinleistungen (unser Beispiel enthält keine Gemeinleistungen) erhöht wird. </t>
    </r>
  </si>
  <si>
    <r>
      <rPr>
        <b/>
        <sz val="12"/>
        <color indexed="8"/>
        <rFont val="Calibri"/>
        <family val="2"/>
      </rPr>
      <t>Kalkulatorisches Betriebszweigergebnis</t>
    </r>
    <r>
      <rPr>
        <sz val="12"/>
        <color indexed="8"/>
        <rFont val="Calibri"/>
        <family val="2"/>
      </rPr>
      <t xml:space="preserve">                                                                                                     Von der Faktorentlohnung werden die Kosten für die Faktoren Arbeit, Boden, Kapital abgezogen. Zum Teil können die Kosten der Buchhaltung entnommen werden, zum Teil müssen sie kalkulatorisch ermittelt werden.</t>
    </r>
  </si>
  <si>
    <t>Innerbetriebliche Leistungsverrechnung (ILV)</t>
  </si>
  <si>
    <t>Innbetriebliche Leistung</t>
  </si>
  <si>
    <t>Futtermittel, Stroh, Tiere und Wirtschaftsdünger werden an andere Betriebszweige abgegeben und müssen daher bewertet werden. Wenn Marktpreise vorhanden sind, werden diese zur Bewertung verwendet, ansonsten sind Wertansätze abzuleiten.</t>
  </si>
  <si>
    <r>
      <rPr>
        <b/>
        <sz val="12"/>
        <color indexed="8"/>
        <rFont val="Calibri"/>
        <family val="2"/>
      </rPr>
      <t xml:space="preserve">Futtermittel und Stroh   </t>
    </r>
    <r>
      <rPr>
        <sz val="12"/>
        <color indexed="8"/>
        <rFont val="Calibri"/>
        <family val="2"/>
      </rPr>
      <t xml:space="preserve">                                                                                                           Die im Betrieb eingesetzten Futtermittel sind mengenmäßig zu erfassen und mit dem Preis loco Hof zu bewerten. Das Getreide wird verfüttert, Mehr- und Minderwerte (falls vorhanden) der Vorräte sind in der Leistungsverrechnung zu berücksichtigen. Das geerntete Getreidestroh wird als Einstreu in der Tierhaltung verwendet. Der Wertansatz versteht sich ohne Bergungskosten. Die Kosten der Strohbergung werden der Tierhaltung gesondert zugerechnet.</t>
    </r>
  </si>
  <si>
    <t>Weibliches JV 1-2 Jahre</t>
  </si>
  <si>
    <t>Weibl. Kälber bis 6 Monate</t>
  </si>
  <si>
    <t>Männl. JV 1-2 Jahre</t>
  </si>
  <si>
    <t>Weibliches JV 1/2-1 Jahr</t>
  </si>
  <si>
    <t>Männliches JV 1/2-1 Jahr</t>
  </si>
  <si>
    <t>Männl. Kälber bis 6 Monate</t>
  </si>
  <si>
    <t>Güllewert (€)</t>
  </si>
  <si>
    <t>Güllewert in Euro je m³</t>
  </si>
  <si>
    <t>Güllewert je Zweig in €</t>
  </si>
  <si>
    <t>Güllewert nach Betriebszweigen</t>
  </si>
  <si>
    <t xml:space="preserve">Der Anfall an Wirtschaftsdünger (in unserem Beispiel Gülle) pro Jahr wird für jede Tierkategorie aufgelistet; also beispielsweise 23,3 m³ je Kuh. Diese Werte werden mit dem Durchschnittsbestand jeder einzelner Tierkategorie multipliziert; für unseren Beispielsbetrieb errechnen sich bei 15 Milchkühen 350 m³ Gülle. Insgesamt für den Betrieb 651 m³. Der Gülleanfall wird mit einem Wertansatz je m³ multipliziert, in unserem Beispiel mit 4,5 Euro; ergibt einen Wirtschafts- bzw. Güllewert von 2.930 Euro. Dieser Wertansatz errechnet sich aus dem relativen Zukaufswert für Handelsdünger (Gehalt an Nährstoffen in der Gülle multipliziert mit den jeweiligen Reinnährstoffpreisen für Stickstoff, Phosphor und Kalium). Zudem informiert die folgende Tabelle über den Güllewert nach den Betriebszweigen Milchkuhhaltung und Stiermast. </t>
  </si>
  <si>
    <r>
      <t xml:space="preserve">Die </t>
    </r>
    <r>
      <rPr>
        <b/>
        <sz val="12"/>
        <color indexed="8"/>
        <rFont val="Calibri"/>
        <family val="2"/>
      </rPr>
      <t>Faktorkosten</t>
    </r>
    <r>
      <rPr>
        <sz val="12"/>
        <color indexed="8"/>
        <rFont val="Calibri"/>
        <family val="2"/>
      </rPr>
      <t xml:space="preserve"> müssen kalkulatorisch ermittelt werden, weil sie keinem Aufwand entsprechen. Der Lohnansatz wird auf der Basis des Arbeitseinsatzes ermittel. Da kein Land gepachtet wird, fallen keine Pachtkosten an. Die kalkulatorischen Kosten für das eigene Land (400 Euro je ha Ackerland, 200 Euro je ha Grünland) sowie der Zinsansatz für das in Maschinen, Gebäuden und Viehvermögen gebundene Kapital muss in einer externen Rechnung ermittelt werden (siehe folgende Tabellen).</t>
    </r>
  </si>
  <si>
    <t>Aufteilung nach vorliegenden Rechnungen</t>
  </si>
  <si>
    <r>
      <rPr>
        <b/>
        <sz val="11"/>
        <color indexed="8"/>
        <rFont val="Calibri"/>
        <family val="2"/>
      </rPr>
      <t>Stickstoff</t>
    </r>
    <r>
      <rPr>
        <sz val="11"/>
        <color theme="1"/>
        <rFont val="Calibri"/>
        <family val="2"/>
        <scheme val="minor"/>
      </rPr>
      <t xml:space="preserve"> in Euro je kg Reinnährstoff</t>
    </r>
  </si>
  <si>
    <r>
      <rPr>
        <b/>
        <sz val="11"/>
        <color indexed="8"/>
        <rFont val="Calibri"/>
        <family val="2"/>
      </rPr>
      <t>Phosphor</t>
    </r>
    <r>
      <rPr>
        <sz val="11"/>
        <color theme="1"/>
        <rFont val="Calibri"/>
        <family val="2"/>
        <scheme val="minor"/>
      </rPr>
      <t xml:space="preserve"> in Euro je kg Reinnährstoff</t>
    </r>
  </si>
  <si>
    <r>
      <rPr>
        <b/>
        <sz val="11"/>
        <color indexed="8"/>
        <rFont val="Calibri"/>
        <family val="2"/>
      </rPr>
      <t>Kalium</t>
    </r>
    <r>
      <rPr>
        <sz val="11"/>
        <color theme="1"/>
        <rFont val="Calibri"/>
        <family val="2"/>
        <scheme val="minor"/>
      </rPr>
      <t xml:space="preserve"> in Euro je kg Reinnährstoff</t>
    </r>
  </si>
  <si>
    <t>Reinnährstoffpreise</t>
  </si>
  <si>
    <t>je Zweig</t>
  </si>
  <si>
    <t>An-schaffung</t>
  </si>
  <si>
    <t>Düngerkosten</t>
  </si>
  <si>
    <t>Handelsdüngerkosten laut Buchführung in €</t>
  </si>
  <si>
    <t>Güllewert laut innerbetr. Leistungsverr. in €</t>
  </si>
  <si>
    <t xml:space="preserve">Die Düngerkosten zählen zu den Direktkosten, sie setzen sich aus Handels- und Wirtschaftsdüngerkosten zusammen. Für ihre Zuteilung wurde folgende Vorgehensweise gewählt: Ausgehend vom Nährstoffbedarf der Kulturen gemäß folgender Tabelle sind die Düngerkosten nach Standardwerten und der prozentuelle Anteil der einzelnen Betriebszweige bzw. Umlagekostenstellen an den Standarddüngerkosten zu ermitteln. Nach diesen Prozentsätzen werden sowohl die Handelsdüngerkosten als auch die nach dem relativen Zukaufswert ermittelten Wirtschaftsdüngerkosten verteilt, unabhängig von den tatsächlichen Düngergaben. Der Betriebszweig Getreidebau erhält beispielsweise sieben Prozent der Handels- und Wirtschaftsdüngerkosten verrechnet. Der Betriebszweig Milchkuhhaltung beansprucht das gesamte Kleegras und Grünland, daher werden die Kosten dieser beiden Umlagekostenstellen diesem Betriebszweig verrechnet. Die Kosten für den Silomais werden eins zu eins der Stiermast angelastet (Silomais wird nur für die Stiermast angebaut).  </t>
  </si>
  <si>
    <t>Aufteilung siehe Tabelle "DÜNGER"</t>
  </si>
  <si>
    <t>siehe Tabelle "TIERE"</t>
  </si>
  <si>
    <t>siehe untere Tabelle in Tabelle "ILV"</t>
  </si>
  <si>
    <t>Überstellung von der Milchkuhhaltung in die Stiermast, siehe Tabelle "ILV"</t>
  </si>
  <si>
    <t>siehe Tabelle "ILV"</t>
  </si>
  <si>
    <t>Summe aus Triticale und Gerste, siehe Tabelle "ILV"</t>
  </si>
  <si>
    <t>Flächenschlüssel</t>
  </si>
  <si>
    <t>Flächen in ha</t>
  </si>
  <si>
    <t>Grünand</t>
  </si>
  <si>
    <t>Aufteilung nach Flächenschlüssel, siehe Tabelle "SCHLÜSSEL"</t>
  </si>
  <si>
    <t>Nur für die Milchproduktion</t>
  </si>
  <si>
    <t>Nur für die Stiermast</t>
  </si>
  <si>
    <t>Aufteilung nach GVE-Schlüssel, siehe Tabelle "SCHLÜSSEL"</t>
  </si>
  <si>
    <t>Nur für UaB</t>
  </si>
  <si>
    <t>Betriebs- und Reparaturkosten - Diesel</t>
  </si>
  <si>
    <t>Für jede Kultur wird die verbrauchte Treibstoffmenge geschätzt und mit der Fläche multipliziert. Daraus kann der Anteil des Treibstoffverbrauchs für alle Kulturen und somit für alle Betriebszweige errechnet werden. Beispielsweise werden vom Silomais 13,2 Prozent des gesamten Treibstoffeinsatzes ermittelt. Die Treibstoffmenge für Kleegras und Grünland wird wiederum der Milchkuhhaltung, jene des Silomais der Stiermast angelastet.</t>
  </si>
  <si>
    <t>Aufteilung nach Standardliterverbrauch, siehe Tabelle "DIESEL"</t>
  </si>
  <si>
    <t>Anlagenverzeichnisse</t>
  </si>
  <si>
    <t>Gebäude</t>
  </si>
  <si>
    <t>Maschinen und Geräte</t>
  </si>
  <si>
    <t>Rinderstall</t>
  </si>
  <si>
    <t>01.05.xxxx</t>
  </si>
  <si>
    <t>Futterlager</t>
  </si>
  <si>
    <t>23.04.xxxx</t>
  </si>
  <si>
    <t>17.04.xxxx</t>
  </si>
  <si>
    <t>Ferienwohnung</t>
  </si>
  <si>
    <t>12.05.xxxx</t>
  </si>
  <si>
    <t>30.03.xxxx</t>
  </si>
  <si>
    <t>Allradtraktor</t>
  </si>
  <si>
    <t>21.10.xxxx</t>
  </si>
  <si>
    <t>11.02.xxxx</t>
  </si>
  <si>
    <t>07.04.xxxx</t>
  </si>
  <si>
    <t>11.05.xxxx</t>
  </si>
  <si>
    <t>31.03.xxxx</t>
  </si>
  <si>
    <t>23.11.xxxx</t>
  </si>
  <si>
    <t>Güllefass (1/3)</t>
  </si>
  <si>
    <t>10.02.xxxx</t>
  </si>
  <si>
    <t>Melktechnik</t>
  </si>
  <si>
    <t>Neuer Ladewagen</t>
  </si>
  <si>
    <t>02.03.xxxx</t>
  </si>
  <si>
    <t>AfA bis 31.12.xx</t>
  </si>
  <si>
    <t>AfA pro Jahr</t>
  </si>
  <si>
    <t>UaB</t>
  </si>
  <si>
    <t>Schlüsselung</t>
  </si>
  <si>
    <t>Aufteilung AfA</t>
  </si>
  <si>
    <t>Aufteilung Buchwert</t>
  </si>
  <si>
    <t>Aufteilung nach Schlüsselung, siehe Tabelle "ANLAGEN"</t>
  </si>
  <si>
    <t>Ackerflächen in ha</t>
  </si>
  <si>
    <r>
      <rPr>
        <b/>
        <sz val="12"/>
        <color indexed="8"/>
        <rFont val="Calibri"/>
        <family val="2"/>
      </rPr>
      <t>Tiere</t>
    </r>
    <r>
      <rPr>
        <sz val="12"/>
        <color indexed="8"/>
        <rFont val="Calibri"/>
        <family val="2"/>
      </rPr>
      <t xml:space="preserve">                                                                                                                                                  Das Lebensalter bzw. Gewicht der Tiere bei der Überstellung von einem Betriebszweig in einen anderen bestimmt die Höhe des Wertansatzes. In unserem Beispielsbetrieb ist die Überstellung von männlichen Kälbern von der Milchkuhhaltung an die Stiermast zu erfassen. Der Wertansatz je Kalb orientiert sich am möglichen Verkaufserlös (loco Hof) zu Mastbeginn.                                                                                                                         Wenn die Nachzucht als eigener Betriebszweig geführt wird (in unserem Beispiel nicht der Fall), müssten auch die Überstellungen von den Milchkühen zur Nachzucht (Kälber) bzw. umgekehrt (Kalbinnen) erfasst werden.                                                                      </t>
    </r>
  </si>
  <si>
    <r>
      <rPr>
        <b/>
        <sz val="12"/>
        <color indexed="8"/>
        <rFont val="Calibri"/>
        <family val="2"/>
      </rPr>
      <t xml:space="preserve">Abschreibung Gebäude  </t>
    </r>
    <r>
      <rPr>
        <sz val="12"/>
        <color indexed="8"/>
        <rFont val="Calibri"/>
        <family val="2"/>
      </rPr>
      <t xml:space="preserve">                                                                                                                                                                                                                                                                                                                                                                                        Jene Abschreibungen, die nur ein Betriebszweig nutzt, werden direkt zugeordnet (in unserem Beispiel die Ferienwohnungen). Die Abschreibung für die Güllegrube wird nach dem Gülleanfall, jene für andere Gebäude nach dem GVE-Bestand auf die beiden Betriebszweige Milchkuhhaltung und Stiermast verteilt.</t>
    </r>
  </si>
  <si>
    <r>
      <rPr>
        <b/>
        <sz val="12"/>
        <color indexed="8"/>
        <rFont val="Calibri"/>
        <family val="2"/>
      </rPr>
      <t>Zinsansatz</t>
    </r>
    <r>
      <rPr>
        <sz val="12"/>
        <color indexed="8"/>
        <rFont val="Calibri"/>
        <family val="2"/>
      </rPr>
      <t xml:space="preserve">                                                                                                                                                                                                                                                                                                                                                                                                                     Zur Ermittlung des in den Betriebszweigen gebundenen Kapitals werden die durchschnittlichen Buchwerte (Beginn und Ende des Jahres) der Gebäude, Maschinen und des Viehs herangezogen und mit dem Kalkulationszinssatz bewertet (im Beispiel 3,5 Prozent). Eine Schätzung des tatsächlichen Werts von Maschinen, Geräten, Gebäuden und des Viehs wäre notwendig, wenn der Zinsansatz mit Wiederbeschaffungswerten berechnet würde. </t>
    </r>
  </si>
  <si>
    <t xml:space="preserve">Abschreibung Maschinen                                                                                                                                                                                                                                                                                                                                                                                              Die Abschreibungen für Maschinen, die nur ein Betriebszweig nutzt, werden dem jeweiligen Betriebszweig zugeordnet (in unserem Beispiel die Melkanlage). Die Abschreibungen für die anderen Maschinen sollten nach ihren Einsatzstunden den Betriebszweigen zugerechnet werden. Dazu fehlen aber in der Regel die Aufzeichnungen, daher wurde für den Beispielsbetrieb folgende Vorgehensweise gewählt: Für jede Maschine wurde der Einsatzumfang (in Prozent) in den einzelnen Betriebszweigen geschätzt, teilweise wurde dazu der Flächenschlüssen verwendet. Daraus errechnet sich ein Schlüssel für die Verteilung der Kosten der Abschreibung für Maschinen und Geräte. </t>
  </si>
  <si>
    <t>Aufteilung aufgrund einer Schätzung</t>
  </si>
  <si>
    <t>Aufteilung nach direktkostenfreier Leistung, siehe Tabelle "SCHLÜSSEL"</t>
  </si>
  <si>
    <t>Arbeitszeit</t>
  </si>
  <si>
    <t>Wertansatz (€/ha)</t>
  </si>
  <si>
    <t>Aufteilung nach Arbeitseinsatz, siehe Tabelle "SCHLÜSSEL"</t>
  </si>
  <si>
    <t>Pachtansatz eigener Acker</t>
  </si>
  <si>
    <t>Pachtansatz eigenes Grünland</t>
  </si>
  <si>
    <t>Ackerflächenschlüssel</t>
  </si>
  <si>
    <t>Grüland in ha</t>
  </si>
  <si>
    <t>Grünlandflächenschlüssel</t>
  </si>
  <si>
    <t>Aufteilung nach Ackerflächennutzung, siehe Tabelle "SCHLÜSSEL"</t>
  </si>
  <si>
    <t>Aufteilung nach Grünlandflächennutzung, siehe Tabelle "SCHLÜSSEL"</t>
  </si>
  <si>
    <t>Durchschnittlicher Buchwert</t>
  </si>
  <si>
    <t xml:space="preserve">Zinsansatz bei 3,5 % </t>
  </si>
  <si>
    <t>Viehvermögen Milchproduktion</t>
  </si>
  <si>
    <t>Viehvermögen Stiermast</t>
  </si>
  <si>
    <t>Aufteilung nach durchschn. gebundenem Viehvermögen, siehe Tabelle "TIERE"</t>
  </si>
  <si>
    <t>Kraftfutter für Stiere</t>
  </si>
  <si>
    <t>Schlüssel für die Verteilung diverser Kosten</t>
  </si>
  <si>
    <t>Schlüssel nach Arbeitszeit</t>
  </si>
  <si>
    <t>Schlüssel nach dfL</t>
  </si>
  <si>
    <t>Kalkulatorisches Ergebnis Kostenrechnung</t>
  </si>
  <si>
    <t xml:space="preserve">+ Beiträge SVB (Sozialversicherung) </t>
  </si>
  <si>
    <t>+ Pachtansatz (eigenes Land)</t>
  </si>
  <si>
    <t>+ Zinsansatz Gebäude</t>
  </si>
  <si>
    <t>+ Zinsansatz Viehvermögen</t>
  </si>
  <si>
    <t xml:space="preserve">+ Neutrale Erträge </t>
  </si>
  <si>
    <t>- Neutrale Aufwendungen</t>
  </si>
  <si>
    <t>Einkünfte aus Land- und Forstwirtschaft</t>
  </si>
  <si>
    <t>Zur Kontrolle empfiehlt es sich, vom kalkulatorischen Betriebsergebnis auf die Einkünfte aus Land- und Forstwirtschaft zurückzurechnen. Zum kalkulatorischen Betriebsergebnis werden die kalkulatorischen Kosten für die Faktoren Arbeit, Boden und Kapital hinzugezählt. Weiters sind die bei der Überleitung von der Buchhaltung in die Leistungs- und Kostenrechnung getätigten Abgrenzungen zu berücksichtigen, Erträge werden hinzugezählt, Aufwendungen abgezogen.</t>
  </si>
  <si>
    <t>Kontrollrechnung</t>
  </si>
  <si>
    <t>1.100 Euro Schuldzinsen mal dfL Schlüssel</t>
  </si>
  <si>
    <t>Die Betriebszweigabrechnung wurde so aufgebaut, dass sich weitere Kennzahlen errechnen lassen. Im Folgenden wird beschrieben, welche Kennzahlen neben der direktkostenfreien Leistung, der Faktorentlohnung und dem kalkulatorischen Betriebszweigergebnis für die Betriebszweige noch errechnet werden können und wie diese konkret ermittelt werden.</t>
  </si>
  <si>
    <t xml:space="preserve">Der Beitrag der Betriebszweige zu den Einkünften aus der Land- und Forstwirtschaft berücksichtigt alle Leistungen und aufwandsgleichen Kosten. Ausgehend von der Faktorentlohnung werden die aufwandsgleichen Faktorkosten abgezogen (im Beispiel die Schuldzinsen, die nach dem Anteil der direktkostenfreien Leistung auf die Betriebszweig verteilt wurden). Die Summe der Beiträge der einzelnen Betriebszweige zu den Einkünften entspricht den Einkünften aus Land- und Forstwirtschaft (bis auf Rundungsunterschiede). </t>
  </si>
  <si>
    <t xml:space="preserve">Variable Kosten verändern sich mit dem Umfang und der Intensität der Produktion. Alle Direktkosten in der vorliegenden Betriebszweigabrechnung sind variable Kosten. Darüber hinaus zählen die Betriebs- und Reparaturkosten für Maschinen (Treibstoffkosten) sowie die Stromkosten zu den variablen Kosten. Würden in einem Betriebszweig Arbeitskräfte stundenweise beschäftigt, wären auch diese Kosten einzurechnen. Ein Zinsansatz für das durch die variablen Kosten gebundene Kapital wird aus Vereinfachungsgründen nicht verrechnet. </t>
  </si>
  <si>
    <t>Der Deckungsbeitrag errechnet sich, indem von den Direktleistungen die variablen Kosten abgezogen werden. Er gilt für die Abrechnungsperiode unter Berücksichtigung der unter den variablen Kosten erörterten Bedingungen (Preise und Kosten der Abrechnungsperiode, variable Kosten ohne Zinsansatz). Für die Planung sind die Kosten und Preise bzw. die Deckungsbeiträge an die zukünftigen Bedingungen anzupassen.</t>
  </si>
  <si>
    <t>Diese Kennzahl fasst die Kosten zusammen, die mit der Erledigung von Arbeiten entstehen. Sie bestehen aus den Kosten für die Arbeitskräfte und für Maschinen. Im Einzelnen zählen die Betriebs- und Reparaturkosten (Treibstoffkosten), Abschreibungen und der Zinsansatz für Maschinen, die Kosten für den Lohnmaschineneinsatz, die Stromkosten, eventuelle Kosten für den betrieblichen Anteil des PKWs sowie die Arbeitskosten dazu. Diese Kennzahl ist für einen Vergleich der Kosten bei eigener Arbeitserledigung und bei einem Einsatz von Maschinenringen oder Lohnunternehmern hilfreich.</t>
  </si>
  <si>
    <t xml:space="preserve">Der Arbeitsertrag errechnet sich, indem zum kalkulatorischen Betriebszweigergebnis der Lohnansatz addiert wird. Der Arbeitsertrag je Stunde errechnet sich, wenn der Arbeitsertrag eines Betriebszweigs durch die nicht entlohnten Arbeitskraftstunden (nAKh) dividiert wird. </t>
  </si>
  <si>
    <t xml:space="preserve">Den kalkulatorischen Kosten liegt kein Aufwand zugrunde. Für die Berechnung der kalkulatorischen Kosten müssen subjektive Annahmen getroffen werden (Entlohnung je Arbeitsstunde, Pachtansatz und Kalkulationszinssatz). Diese Kosten sind daher anders zu bewerten als Kosten, die einem Aufwand entsprechen. Es interessiert daher nicht nur der absolute Betrag, sondern auch der prozentuelle Anteil an den Gesamtkosten. </t>
  </si>
  <si>
    <t>Für horizontale Betriebsvergleiche sowie Planungsrechnungen sind Kennzahlen je Bezugsgröße hilfreich. Die Bezugsgröße hängt vom jeweiligen Betriebszweig ab. Beim Betriebszweig Getreidebau bietet sich die Bezugsgröße ein Hektar an. In der Milchkuhhaltung eine Kuh bzw. 100 Kilogramm Milch, in der Stiermast ein ausgemästeter Stier. Der Betriebszweig Urlaub am Bauernhof wird hier auf eine Ferienwohnung bezogen.</t>
  </si>
  <si>
    <t>Kennzahlen</t>
  </si>
  <si>
    <t>Kennzahlen je Betrieb bzw. Betriebszweig</t>
  </si>
  <si>
    <t>In dieser Excel-Anwendung wird die Betriebszweigabrechnung mit einem Beispiel veranschaulicht. Der Aufbau und die Darstellung des Beispiels lehnt sich an die Grundlagen des Schulbuches zum Kapitel Betriebszweigabrechnung an.</t>
  </si>
  <si>
    <t>Beispiel zur Betriebszweigabrechnug</t>
  </si>
  <si>
    <t>Grundsätzliches</t>
  </si>
  <si>
    <t>Schritte</t>
  </si>
  <si>
    <t>Grundlage ist die Gewinn- und Verlustrechnung; siehe "GuV"</t>
  </si>
  <si>
    <t>Überleitung des Ertrags in Leistungen und des Aufwands in Kosten, Kostenartenrechnung; siehe Erläuterungen in Tabelle "KA"</t>
  </si>
  <si>
    <t>Bildung von Betriebszweigen und Betriebszweigabrechnung; siehe "BZA"</t>
  </si>
  <si>
    <t>Ermittlung und Bewertung innerbetrieblicher Leistungen; siehe "ILV"</t>
  </si>
  <si>
    <t>Ermittlung der Schlüssel für die Zuteilung von Leistungen und Kosten in der Tierhaltung; siehe "TIERE"</t>
  </si>
  <si>
    <t>Hilfsrechnungen zur Aufteilung der Düngerkosten auf die Betriebszweige, siehe "DÜNGER"</t>
  </si>
  <si>
    <t>Hilfsrechnungen zur Aufteilung der Maschinen- und Reparaturkosten (Diesel) auf die Betriebszweige, siehe "DIESEL"</t>
  </si>
  <si>
    <t>Hilfsrechnungen zur Aufteilung der Abschreibungen und Zinsansätze für Gebäude und Maschinen; "ANLAGEN"</t>
  </si>
  <si>
    <t>Hinweise zu den verwendeten Schlüssel zur Aufteilung der Gemeinkosten; siehe "SCHLÜSSEL"</t>
  </si>
  <si>
    <t>Kontrollrechnung; siehe "KONTROLLE"</t>
  </si>
  <si>
    <t>Ermittlung von Kennzahlen je Betriebszweig und je Bezugsgröße; siehe "KENNZAHLEN"</t>
  </si>
  <si>
    <t>Interpretation der Ergebnisse</t>
  </si>
  <si>
    <t>Wo verdiene ich am meisten?</t>
  </si>
  <si>
    <t xml:space="preserve">Diese Frage lässt sich nicht beantworten, bevor nicht geklärt ist, welche Kennzahl den „Verdienst“ ausdrückt. Gemeint könnte damit sein, welcher Betriebszweig zu den Einkünften aus der Land- und Forstwirtschaft den höchsten Beitrag leistet. Von allen Betriebszweigen trägt die Milchkuhhaltung den Großteil zur Summe der Einkünfte aus der Land- und Forstwirtschaft bei. Die Milchkuhhaltung verursacht aber auch hohe kalkulatorische Kosten. Daher entsteht ein negatives kalkulatorisches Betriebszweigergebnis, die Gesamtkosten werden durch die Leistungen nicht ganz gedeckt. Der Grund für das negative kalkulatorische Betriebszweigergebnis liegt in dem Umstand, dass der Betriebszweig Milchkuhhaltung viele Arbeitsstunden beansprucht und mit einem hohen Kapitaleinsatz verbunden ist (Boden, Maschinen, Gebäude, Viehvermögen). Diese Produktionsfaktoren werden in den kalkulatorischen Kosten verrechnet. </t>
  </si>
  <si>
    <t>Neben der Milchkuhhaltung trägt der Betriebszweig Urlaub am Bauernhof am meisten zu den Einkünften aus der Land- und Forstwirtschaft bei. Eindeutig ist, dass in der Stiermast kein Geld verdient wird. Der Beitrag zu den Einkünften aus der Land- und Forstwirtschaft ist negativ, ebenso der Deckungsbeitrag. Das heißt, eine Aufgabe dieses Betriebszweiges würde das Ergebnis für den Betrieb verbessern.</t>
  </si>
  <si>
    <t xml:space="preserve">Diese Frage wird durch die Kennzahl Arbeitsertrag je Stunde ausgedrückt. In allen Betriebszweigen mit Ausnahme von Urlaub am Bauernhof liegt der Arbeitsertrag unter dem kalkulierten Lohnansatz von acht Euro je Stunde; beim Getreidebau und der Stiermast ist der Arbeitsertrag negativ. Die Betriebszweige Milchkuhhaltung und Urlaub am Bauernhof erzielen rund sechs Euro. Die subjektiven Ansätze für die Verzinsung des eingesetzten Kapitals und die Höhe des Pachtansatzes für eigene Flächen beeinflussen wesentlich den errechneten Arbeitsertrag.  </t>
  </si>
  <si>
    <t>Wird die Arbeit in den Betriebszweigen entlohnt?</t>
  </si>
  <si>
    <t>Sollten Betriebszweige aufgegeben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</si>
</sst>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_-* #,##0.00_-;\-* #,##0.00_-;_-* &quot;-&quot;??_-;_-@_-"/>
    <numFmt numFmtId="165" formatCode="#,##0.0"/>
    <numFmt numFmtId="166" formatCode="#,##0&quot;  &quot;"/>
    <numFmt numFmtId="167" formatCode="#,##0.0&quot;  &quot;"/>
    <numFmt numFmtId="168" formatCode="#,##0.0&quot; &quot;"/>
    <numFmt numFmtId="169" formatCode="#,##0.00&quot; &quot;"/>
    <numFmt numFmtId="170" formatCode="#,##0&quot; &quot;"/>
    <numFmt numFmtId="171" formatCode="0.0"/>
    <numFmt numFmtId="172" formatCode="#,##0\ &quot;ha&quot;"/>
    <numFmt numFmtId="173" formatCode="#,##0\ &quot;Kuh&quot;"/>
    <numFmt numFmtId="174" formatCode="#,##0\ &quot;Stier&quot;"/>
    <numFmt numFmtId="175" formatCode="#,##0\ &quot;FW&quot;"/>
    <numFmt numFmtId="176" formatCode="#,##0\ &quot;kg Milch&quot;"/>
    <numFmt numFmtId="177" formatCode="#,##0\ &quot; &quot;"/>
    <numFmt numFmtId="178" formatCode="#,##0.00\ &quot; &quot;"/>
    <numFmt numFmtId="179" formatCode="0.0%"/>
    <numFmt numFmtId="180" formatCode="_-* #,##0_-;\-* #,##0_-;_-* &quot;-&quot;??_-;_-@_-"/>
    <numFmt numFmtId="181" formatCode="_-* #,##0.000_-;\-* #,##0.000_-;_-* &quot;-&quot;??_-;_-@_-"/>
    <numFmt numFmtId="182" formatCode="_-* #,##0.0000_-;\-* #,##0.0000_-;_-* &quot;-&quot;??_-;_-@_-"/>
  </numFmts>
  <fonts count="35" x14ac:knownFonts="1">
    <font>
      <sz val="11"/>
      <color theme="1"/>
      <name val="Calibri"/>
      <family val="2"/>
      <scheme val="minor"/>
    </font>
    <font>
      <sz val="11"/>
      <color indexed="8"/>
      <name val="Calibri"/>
      <family val="2"/>
    </font>
    <font>
      <b/>
      <sz val="11"/>
      <color indexed="8"/>
      <name val="Calibri"/>
      <family val="2"/>
    </font>
    <font>
      <sz val="11"/>
      <color indexed="8"/>
      <name val="Calibri"/>
      <family val="2"/>
    </font>
    <font>
      <sz val="10"/>
      <color indexed="8"/>
      <name val="Calibri"/>
      <family val="2"/>
    </font>
    <font>
      <b/>
      <sz val="10"/>
      <color indexed="8"/>
      <name val="Calibri"/>
      <family val="2"/>
    </font>
    <font>
      <sz val="10"/>
      <name val="Arial"/>
      <family val="2"/>
    </font>
    <font>
      <b/>
      <sz val="11"/>
      <name val="Calibri"/>
      <family val="2"/>
    </font>
    <font>
      <sz val="11"/>
      <name val="Calibri"/>
      <family val="2"/>
    </font>
    <font>
      <sz val="9.5"/>
      <color indexed="8"/>
      <name val="Calibri"/>
      <family val="2"/>
    </font>
    <font>
      <b/>
      <sz val="9.5"/>
      <color indexed="8"/>
      <name val="Calibri"/>
      <family val="2"/>
    </font>
    <font>
      <sz val="12"/>
      <color indexed="8"/>
      <name val="Calibri"/>
      <family val="2"/>
    </font>
    <font>
      <b/>
      <sz val="12"/>
      <color indexed="8"/>
      <name val="Calibri"/>
      <family val="2"/>
    </font>
    <font>
      <sz val="10.5"/>
      <color indexed="8"/>
      <name val="Calibri"/>
      <family val="2"/>
    </font>
    <font>
      <b/>
      <sz val="10.5"/>
      <color indexed="8"/>
      <name val="Calibri"/>
      <family val="2"/>
    </font>
    <font>
      <sz val="12"/>
      <color indexed="8"/>
      <name val="Calibri"/>
      <family val="2"/>
    </font>
    <font>
      <i/>
      <sz val="12"/>
      <color indexed="8"/>
      <name val="Calibri"/>
      <family val="2"/>
    </font>
    <font>
      <b/>
      <sz val="22"/>
      <color indexed="57"/>
      <name val="Calibri"/>
      <family val="2"/>
    </font>
    <font>
      <b/>
      <sz val="16"/>
      <color indexed="57"/>
      <name val="Calibri"/>
      <family val="2"/>
    </font>
    <font>
      <b/>
      <sz val="12"/>
      <name val="Calibri"/>
      <family val="2"/>
    </font>
    <font>
      <b/>
      <sz val="11"/>
      <color indexed="8"/>
      <name val="Calibri"/>
      <family val="2"/>
    </font>
    <font>
      <b/>
      <sz val="11"/>
      <color indexed="8"/>
      <name val="Calibri"/>
      <family val="2"/>
    </font>
    <font>
      <sz val="11"/>
      <color indexed="8"/>
      <name val="Calibri"/>
      <family val="2"/>
    </font>
    <font>
      <b/>
      <sz val="14"/>
      <name val="Calibri"/>
      <family val="2"/>
    </font>
    <font>
      <b/>
      <sz val="12"/>
      <color indexed="57"/>
      <name val="Calibri"/>
      <family val="2"/>
    </font>
    <font>
      <b/>
      <sz val="14"/>
      <color indexed="57"/>
      <name val="Calibri"/>
      <family val="2"/>
    </font>
    <font>
      <b/>
      <sz val="11"/>
      <color indexed="57"/>
      <name val="Calibri"/>
      <family val="2"/>
    </font>
    <font>
      <b/>
      <sz val="12"/>
      <color indexed="57"/>
      <name val="Calibri"/>
      <family val="2"/>
    </font>
    <font>
      <b/>
      <sz val="14"/>
      <color indexed="57"/>
      <name val="Calibri"/>
      <family val="2"/>
    </font>
    <font>
      <sz val="9"/>
      <color indexed="81"/>
      <name val="Tahoma"/>
      <family val="2"/>
    </font>
    <font>
      <b/>
      <sz val="9"/>
      <color indexed="81"/>
      <name val="Tahoma"/>
      <family val="2"/>
    </font>
    <font>
      <b/>
      <sz val="11"/>
      <color indexed="8"/>
      <name val="Calibri"/>
      <family val="2"/>
    </font>
    <font>
      <sz val="11"/>
      <color indexed="8"/>
      <name val="Calibri"/>
      <family val="2"/>
    </font>
    <font>
      <sz val="12"/>
      <name val="Calibri"/>
      <family val="2"/>
    </font>
    <font>
      <b/>
      <sz val="24"/>
      <color indexed="57"/>
      <name val="Calibri"/>
      <family val="2"/>
    </font>
  </fonts>
  <fills count="14">
    <fill>
      <patternFill patternType="none"/>
    </fill>
    <fill>
      <patternFill patternType="gray125"/>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indexed="44"/>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diagonal/>
    </border>
  </borders>
  <cellStyleXfs count="3">
    <xf numFmtId="0" fontId="0" fillId="0" borderId="0"/>
    <xf numFmtId="164" fontId="1" fillId="0" borderId="0" applyFont="0" applyFill="0" applyBorder="0" applyAlignment="0" applyProtection="0"/>
    <xf numFmtId="0" fontId="6" fillId="0" borderId="0"/>
  </cellStyleXfs>
  <cellXfs count="469">
    <xf numFmtId="0" fontId="0" fillId="0" borderId="0" xfId="0"/>
    <xf numFmtId="3" fontId="0" fillId="0" borderId="0" xfId="0" applyNumberFormat="1"/>
    <xf numFmtId="0" fontId="0" fillId="0" borderId="0" xfId="0"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3" xfId="0" applyBorder="1" applyAlignment="1">
      <alignment horizontal="center"/>
    </xf>
    <xf numFmtId="4" fontId="0" fillId="0" borderId="0" xfId="0" applyNumberFormat="1"/>
    <xf numFmtId="0" fontId="0" fillId="2" borderId="5" xfId="0" applyFill="1" applyBorder="1"/>
    <xf numFmtId="0" fontId="0" fillId="2" borderId="6" xfId="0" applyFill="1" applyBorder="1"/>
    <xf numFmtId="0" fontId="0" fillId="2" borderId="7" xfId="0" applyFill="1" applyBorder="1"/>
    <xf numFmtId="0" fontId="0" fillId="0" borderId="3" xfId="0" applyBorder="1" applyAlignment="1">
      <alignment horizontal="center" vertical="center" wrapText="1"/>
    </xf>
    <xf numFmtId="166" fontId="0" fillId="0" borderId="4" xfId="0" applyNumberFormat="1" applyBorder="1"/>
    <xf numFmtId="166" fontId="0" fillId="0" borderId="5" xfId="0" applyNumberFormat="1" applyBorder="1"/>
    <xf numFmtId="166" fontId="0" fillId="0" borderId="6" xfId="0" applyNumberFormat="1" applyBorder="1"/>
    <xf numFmtId="166" fontId="0" fillId="2" borderId="7" xfId="0" applyNumberFormat="1" applyFill="1" applyBorder="1"/>
    <xf numFmtId="166" fontId="0" fillId="2" borderId="5" xfId="0" applyNumberFormat="1" applyFill="1" applyBorder="1"/>
    <xf numFmtId="166" fontId="0" fillId="2" borderId="6" xfId="0" applyNumberFormat="1" applyFill="1" applyBorder="1"/>
    <xf numFmtId="167" fontId="0" fillId="0" borderId="4" xfId="0" applyNumberFormat="1" applyBorder="1"/>
    <xf numFmtId="167" fontId="0" fillId="0" borderId="5" xfId="0" applyNumberFormat="1" applyBorder="1"/>
    <xf numFmtId="167" fontId="0" fillId="0" borderId="6" xfId="0" applyNumberFormat="1" applyBorder="1"/>
    <xf numFmtId="167" fontId="0" fillId="2" borderId="7" xfId="0" applyNumberFormat="1" applyFill="1" applyBorder="1"/>
    <xf numFmtId="167" fontId="0" fillId="2" borderId="5" xfId="0" applyNumberFormat="1" applyFill="1" applyBorder="1"/>
    <xf numFmtId="167" fontId="0" fillId="2" borderId="6" xfId="0" applyNumberFormat="1" applyFill="1" applyBorder="1"/>
    <xf numFmtId="169" fontId="0" fillId="0" borderId="0" xfId="0" applyNumberFormat="1"/>
    <xf numFmtId="0" fontId="2" fillId="0" borderId="0" xfId="0" applyFont="1"/>
    <xf numFmtId="0" fontId="2" fillId="3" borderId="3" xfId="0" applyFont="1" applyFill="1" applyBorder="1"/>
    <xf numFmtId="169" fontId="2" fillId="3" borderId="3" xfId="0" applyNumberFormat="1" applyFont="1" applyFill="1" applyBorder="1"/>
    <xf numFmtId="0" fontId="0" fillId="0" borderId="8" xfId="0" applyBorder="1"/>
    <xf numFmtId="0" fontId="2" fillId="4" borderId="4" xfId="0" applyFont="1" applyFill="1" applyBorder="1"/>
    <xf numFmtId="169" fontId="2" fillId="4" borderId="4" xfId="0" applyNumberFormat="1" applyFont="1" applyFill="1" applyBorder="1"/>
    <xf numFmtId="169" fontId="0" fillId="0" borderId="5" xfId="0" applyNumberFormat="1" applyBorder="1"/>
    <xf numFmtId="0" fontId="0" fillId="0" borderId="8" xfId="0" applyBorder="1" applyAlignment="1">
      <alignment horizontal="center"/>
    </xf>
    <xf numFmtId="0" fontId="2" fillId="5" borderId="8" xfId="0" applyFont="1" applyFill="1" applyBorder="1"/>
    <xf numFmtId="169" fontId="2" fillId="5" borderId="8" xfId="0" applyNumberFormat="1" applyFont="1" applyFill="1" applyBorder="1"/>
    <xf numFmtId="169" fontId="0" fillId="2" borderId="5" xfId="0" applyNumberFormat="1" applyFill="1" applyBorder="1"/>
    <xf numFmtId="169" fontId="0" fillId="2" borderId="6" xfId="0" applyNumberFormat="1" applyFill="1" applyBorder="1"/>
    <xf numFmtId="0" fontId="0" fillId="2" borderId="4" xfId="0" applyFont="1" applyFill="1" applyBorder="1"/>
    <xf numFmtId="169" fontId="0" fillId="2" borderId="4" xfId="0" applyNumberFormat="1" applyFont="1" applyFill="1" applyBorder="1"/>
    <xf numFmtId="0" fontId="0" fillId="2" borderId="6" xfId="0" applyFont="1" applyFill="1" applyBorder="1"/>
    <xf numFmtId="169" fontId="0" fillId="2" borderId="6" xfId="0" applyNumberFormat="1" applyFont="1" applyFill="1" applyBorder="1"/>
    <xf numFmtId="0" fontId="0" fillId="0" borderId="0" xfId="0" applyFont="1"/>
    <xf numFmtId="0" fontId="2" fillId="0" borderId="1" xfId="0" applyFont="1" applyBorder="1"/>
    <xf numFmtId="0" fontId="2" fillId="0" borderId="3" xfId="0" applyFont="1" applyBorder="1"/>
    <xf numFmtId="0" fontId="2" fillId="0" borderId="8" xfId="0" applyFont="1" applyBorder="1"/>
    <xf numFmtId="0" fontId="0" fillId="0" borderId="4" xfId="0" applyFont="1" applyBorder="1"/>
    <xf numFmtId="49" fontId="2" fillId="0" borderId="0" xfId="0" applyNumberFormat="1" applyFont="1"/>
    <xf numFmtId="2" fontId="2" fillId="0" borderId="0" xfId="0" applyNumberFormat="1" applyFont="1"/>
    <xf numFmtId="49" fontId="0" fillId="0" borderId="2" xfId="0" applyNumberFormat="1" applyFont="1" applyBorder="1"/>
    <xf numFmtId="49" fontId="2" fillId="0" borderId="8" xfId="0" applyNumberFormat="1" applyFont="1" applyBorder="1"/>
    <xf numFmtId="0" fontId="2" fillId="0" borderId="1" xfId="0" applyFont="1" applyBorder="1" applyAlignment="1">
      <alignment horizontal="center"/>
    </xf>
    <xf numFmtId="0" fontId="4" fillId="0" borderId="0" xfId="0" applyFont="1"/>
    <xf numFmtId="0" fontId="4" fillId="0" borderId="0" xfId="0" applyFont="1" applyAlignment="1">
      <alignment horizontal="center" vertical="center" wrapText="1"/>
    </xf>
    <xf numFmtId="0" fontId="5" fillId="0" borderId="0" xfId="0" applyFont="1"/>
    <xf numFmtId="2" fontId="5" fillId="0" borderId="0" xfId="0" applyNumberFormat="1" applyFont="1"/>
    <xf numFmtId="49" fontId="5" fillId="0" borderId="0" xfId="0" applyNumberFormat="1" applyFont="1"/>
    <xf numFmtId="0" fontId="0" fillId="0" borderId="5" xfId="0" applyBorder="1" applyAlignment="1">
      <alignment horizontal="center"/>
    </xf>
    <xf numFmtId="0" fontId="0" fillId="0" borderId="5" xfId="0" applyBorder="1" applyAlignment="1">
      <alignment wrapText="1"/>
    </xf>
    <xf numFmtId="0" fontId="0" fillId="0" borderId="5" xfId="0" applyBorder="1" applyAlignment="1">
      <alignment vertical="center" wrapText="1"/>
    </xf>
    <xf numFmtId="0" fontId="0" fillId="0" borderId="5" xfId="0" applyBorder="1" applyAlignment="1">
      <alignment horizontal="center" vertical="center" wrapText="1"/>
    </xf>
    <xf numFmtId="170" fontId="0" fillId="0" borderId="4" xfId="0" applyNumberFormat="1" applyBorder="1"/>
    <xf numFmtId="170" fontId="0" fillId="0" borderId="5" xfId="0" applyNumberFormat="1" applyBorder="1"/>
    <xf numFmtId="170" fontId="0" fillId="0" borderId="6" xfId="0" applyNumberFormat="1" applyBorder="1"/>
    <xf numFmtId="170" fontId="0" fillId="0" borderId="5" xfId="0" applyNumberFormat="1" applyBorder="1" applyAlignment="1">
      <alignment vertical="center"/>
    </xf>
    <xf numFmtId="171" fontId="0" fillId="0" borderId="0" xfId="0" applyNumberFormat="1"/>
    <xf numFmtId="0" fontId="0" fillId="2" borderId="4" xfId="0" applyFill="1" applyBorder="1"/>
    <xf numFmtId="164" fontId="0" fillId="2" borderId="4" xfId="1" applyFont="1" applyFill="1" applyBorder="1"/>
    <xf numFmtId="164" fontId="0" fillId="2" borderId="5" xfId="1" applyFont="1" applyFill="1" applyBorder="1"/>
    <xf numFmtId="0" fontId="0" fillId="6" borderId="5" xfId="0" applyFill="1" applyBorder="1"/>
    <xf numFmtId="164" fontId="0" fillId="6" borderId="5" xfId="1" applyFont="1" applyFill="1" applyBorder="1"/>
    <xf numFmtId="0" fontId="0" fillId="3" borderId="5" xfId="0" applyFill="1" applyBorder="1"/>
    <xf numFmtId="164" fontId="0" fillId="3" borderId="5" xfId="1" applyFont="1" applyFill="1" applyBorder="1"/>
    <xf numFmtId="0" fontId="0" fillId="6" borderId="6" xfId="0" applyFill="1" applyBorder="1"/>
    <xf numFmtId="164" fontId="0" fillId="6" borderId="6" xfId="1" applyFont="1" applyFill="1" applyBorder="1"/>
    <xf numFmtId="164" fontId="2" fillId="0" borderId="3" xfId="0" applyNumberFormat="1" applyFont="1" applyBorder="1"/>
    <xf numFmtId="0" fontId="0" fillId="0" borderId="3" xfId="0" applyBorder="1" applyAlignment="1">
      <alignment horizontal="center" vertical="center"/>
    </xf>
    <xf numFmtId="170" fontId="0" fillId="2" borderId="4" xfId="0" applyNumberFormat="1" applyFill="1" applyBorder="1"/>
    <xf numFmtId="170" fontId="0" fillId="2" borderId="5" xfId="0" applyNumberFormat="1" applyFill="1" applyBorder="1"/>
    <xf numFmtId="170" fontId="0" fillId="3" borderId="5" xfId="0" applyNumberFormat="1" applyFill="1" applyBorder="1"/>
    <xf numFmtId="170" fontId="0" fillId="6" borderId="5" xfId="0" applyNumberFormat="1" applyFill="1" applyBorder="1"/>
    <xf numFmtId="170" fontId="0" fillId="6" borderId="6" xfId="0" applyNumberFormat="1" applyFill="1" applyBorder="1"/>
    <xf numFmtId="170" fontId="2" fillId="0" borderId="3" xfId="0" applyNumberFormat="1" applyFont="1" applyBorder="1"/>
    <xf numFmtId="170" fontId="2" fillId="0" borderId="3" xfId="1" applyNumberFormat="1" applyFont="1" applyBorder="1"/>
    <xf numFmtId="168" fontId="0" fillId="2" borderId="4" xfId="0" applyNumberFormat="1" applyFill="1" applyBorder="1"/>
    <xf numFmtId="168" fontId="0" fillId="2" borderId="5" xfId="0" applyNumberFormat="1" applyFill="1" applyBorder="1"/>
    <xf numFmtId="168" fontId="0" fillId="3" borderId="5" xfId="0" applyNumberFormat="1" applyFill="1" applyBorder="1"/>
    <xf numFmtId="168" fontId="0" fillId="6" borderId="5" xfId="0" applyNumberFormat="1" applyFill="1" applyBorder="1"/>
    <xf numFmtId="168" fontId="0" fillId="6" borderId="6" xfId="0" applyNumberFormat="1" applyFill="1" applyBorder="1"/>
    <xf numFmtId="168" fontId="2" fillId="0" borderId="3" xfId="0" applyNumberFormat="1" applyFont="1" applyBorder="1"/>
    <xf numFmtId="168" fontId="2" fillId="3" borderId="5" xfId="0" applyNumberFormat="1" applyFont="1" applyFill="1" applyBorder="1" applyAlignment="1">
      <alignment horizontal="right" vertical="center"/>
    </xf>
    <xf numFmtId="0" fontId="0" fillId="0" borderId="8" xfId="0" applyBorder="1" applyAlignment="1">
      <alignment wrapText="1"/>
    </xf>
    <xf numFmtId="16" fontId="0" fillId="0" borderId="8" xfId="0" applyNumberFormat="1" applyBorder="1" applyAlignment="1">
      <alignment horizontal="center" vertical="center" wrapText="1"/>
    </xf>
    <xf numFmtId="16" fontId="3" fillId="0" borderId="8" xfId="0" applyNumberFormat="1" applyFont="1" applyBorder="1" applyAlignment="1">
      <alignment horizontal="center" vertical="center" wrapText="1"/>
    </xf>
    <xf numFmtId="0" fontId="0" fillId="0" borderId="0" xfId="0" applyFill="1"/>
    <xf numFmtId="0" fontId="0" fillId="0" borderId="6" xfId="0" applyFill="1" applyBorder="1"/>
    <xf numFmtId="166" fontId="0" fillId="0" borderId="6" xfId="0" applyNumberFormat="1" applyFill="1" applyBorder="1"/>
    <xf numFmtId="170" fontId="4" fillId="0" borderId="0" xfId="0" applyNumberFormat="1" applyFont="1"/>
    <xf numFmtId="170" fontId="0" fillId="0" borderId="1" xfId="0" applyNumberFormat="1" applyBorder="1"/>
    <xf numFmtId="170" fontId="0" fillId="0" borderId="2" xfId="0" applyNumberFormat="1" applyBorder="1"/>
    <xf numFmtId="170" fontId="2" fillId="0" borderId="8" xfId="0" applyNumberFormat="1" applyFont="1" applyBorder="1"/>
    <xf numFmtId="170" fontId="2" fillId="0" borderId="8" xfId="0" applyNumberFormat="1" applyFont="1" applyBorder="1" applyAlignment="1">
      <alignment horizontal="right"/>
    </xf>
    <xf numFmtId="170" fontId="0" fillId="0" borderId="2" xfId="0" applyNumberFormat="1" applyFont="1" applyBorder="1"/>
    <xf numFmtId="0" fontId="4" fillId="0" borderId="3" xfId="0" applyFont="1" applyBorder="1" applyAlignment="1">
      <alignment horizontal="center" vertical="center" wrapText="1"/>
    </xf>
    <xf numFmtId="49" fontId="2" fillId="7" borderId="8" xfId="0" applyNumberFormat="1" applyFont="1" applyFill="1" applyBorder="1"/>
    <xf numFmtId="170" fontId="2" fillId="7" borderId="8" xfId="0" applyNumberFormat="1" applyFont="1" applyFill="1" applyBorder="1"/>
    <xf numFmtId="49" fontId="2" fillId="3" borderId="8" xfId="0" applyNumberFormat="1" applyFont="1" applyFill="1" applyBorder="1"/>
    <xf numFmtId="170" fontId="2" fillId="3" borderId="8" xfId="0" applyNumberFormat="1" applyFont="1" applyFill="1" applyBorder="1"/>
    <xf numFmtId="49" fontId="2" fillId="5" borderId="8" xfId="0" applyNumberFormat="1" applyFont="1" applyFill="1" applyBorder="1"/>
    <xf numFmtId="170" fontId="2" fillId="5" borderId="8" xfId="0" applyNumberFormat="1" applyFont="1" applyFill="1" applyBorder="1"/>
    <xf numFmtId="170" fontId="0" fillId="0" borderId="0" xfId="0" applyNumberFormat="1"/>
    <xf numFmtId="169" fontId="0" fillId="2" borderId="4" xfId="1" applyNumberFormat="1" applyFont="1" applyFill="1" applyBorder="1"/>
    <xf numFmtId="169" fontId="0" fillId="2" borderId="5" xfId="1" applyNumberFormat="1" applyFont="1" applyFill="1" applyBorder="1"/>
    <xf numFmtId="169" fontId="0" fillId="3" borderId="5" xfId="1" applyNumberFormat="1" applyFont="1" applyFill="1" applyBorder="1"/>
    <xf numFmtId="169" fontId="0" fillId="6" borderId="5" xfId="1" applyNumberFormat="1" applyFont="1" applyFill="1" applyBorder="1"/>
    <xf numFmtId="169" fontId="0" fillId="6" borderId="6" xfId="1" applyNumberFormat="1" applyFont="1" applyFill="1" applyBorder="1"/>
    <xf numFmtId="169" fontId="2" fillId="0" borderId="3" xfId="0" applyNumberFormat="1" applyFont="1" applyBorder="1"/>
    <xf numFmtId="170" fontId="2" fillId="0" borderId="0" xfId="0" applyNumberFormat="1" applyFont="1"/>
    <xf numFmtId="0" fontId="7" fillId="0" borderId="0" xfId="2" applyFont="1"/>
    <xf numFmtId="0" fontId="8" fillId="0" borderId="8" xfId="2" applyFont="1" applyFill="1" applyBorder="1" applyAlignment="1">
      <alignment horizontal="center" vertical="center" wrapText="1"/>
    </xf>
    <xf numFmtId="0" fontId="8" fillId="0" borderId="0" xfId="2" applyFont="1"/>
    <xf numFmtId="0" fontId="8" fillId="0" borderId="1" xfId="2" applyFont="1" applyFill="1" applyBorder="1"/>
    <xf numFmtId="14" fontId="8" fillId="0" borderId="1" xfId="2" applyNumberFormat="1" applyFont="1" applyFill="1" applyBorder="1" applyAlignment="1">
      <alignment horizontal="center"/>
    </xf>
    <xf numFmtId="3" fontId="8" fillId="0" borderId="1" xfId="2" applyNumberFormat="1" applyFont="1" applyFill="1" applyBorder="1"/>
    <xf numFmtId="0" fontId="8" fillId="0" borderId="2" xfId="2" applyFont="1" applyFill="1" applyBorder="1"/>
    <xf numFmtId="14" fontId="8" fillId="0" borderId="2" xfId="2" applyNumberFormat="1" applyFont="1" applyFill="1" applyBorder="1" applyAlignment="1">
      <alignment horizontal="center"/>
    </xf>
    <xf numFmtId="3" fontId="8" fillId="0" borderId="2" xfId="2" applyNumberFormat="1" applyFont="1" applyFill="1" applyBorder="1"/>
    <xf numFmtId="0" fontId="8" fillId="0" borderId="3" xfId="2" applyFont="1" applyFill="1" applyBorder="1"/>
    <xf numFmtId="14" fontId="8" fillId="0" borderId="3" xfId="2" applyNumberFormat="1" applyFont="1" applyFill="1" applyBorder="1" applyAlignment="1">
      <alignment horizontal="center"/>
    </xf>
    <xf numFmtId="3" fontId="8" fillId="0" borderId="3" xfId="2" applyNumberFormat="1" applyFont="1" applyFill="1" applyBorder="1"/>
    <xf numFmtId="0" fontId="7" fillId="0" borderId="9" xfId="2" applyFont="1" applyFill="1" applyBorder="1"/>
    <xf numFmtId="0" fontId="8" fillId="0" borderId="10" xfId="2" applyFont="1" applyFill="1" applyBorder="1"/>
    <xf numFmtId="3" fontId="8" fillId="0" borderId="10" xfId="2" applyNumberFormat="1" applyFont="1" applyFill="1" applyBorder="1"/>
    <xf numFmtId="3" fontId="7" fillId="0" borderId="8" xfId="2" applyNumberFormat="1" applyFont="1" applyFill="1" applyBorder="1"/>
    <xf numFmtId="0" fontId="7" fillId="0" borderId="11" xfId="2" applyFont="1" applyFill="1" applyBorder="1"/>
    <xf numFmtId="0" fontId="8" fillId="0" borderId="12" xfId="2" applyFont="1" applyFill="1" applyBorder="1"/>
    <xf numFmtId="3" fontId="8" fillId="0" borderId="12" xfId="2" applyNumberFormat="1" applyFont="1" applyFill="1" applyBorder="1"/>
    <xf numFmtId="0" fontId="8" fillId="0" borderId="8" xfId="2" applyFont="1" applyBorder="1" applyAlignment="1">
      <alignment horizontal="center" vertical="center" wrapText="1"/>
    </xf>
    <xf numFmtId="0" fontId="7" fillId="0" borderId="1" xfId="2" applyFont="1" applyFill="1" applyBorder="1"/>
    <xf numFmtId="0" fontId="7" fillId="0" borderId="3" xfId="2" applyFont="1" applyFill="1" applyBorder="1"/>
    <xf numFmtId="3" fontId="8" fillId="0" borderId="0" xfId="2" applyNumberFormat="1" applyFont="1"/>
    <xf numFmtId="9" fontId="8" fillId="0" borderId="0" xfId="2" applyNumberFormat="1" applyFont="1"/>
    <xf numFmtId="3" fontId="8" fillId="0" borderId="9" xfId="2" applyNumberFormat="1" applyFont="1" applyFill="1" applyBorder="1"/>
    <xf numFmtId="3" fontId="8" fillId="0" borderId="13" xfId="2" applyNumberFormat="1" applyFont="1" applyFill="1" applyBorder="1"/>
    <xf numFmtId="9" fontId="8" fillId="0" borderId="2" xfId="2" applyNumberFormat="1" applyFont="1" applyBorder="1"/>
    <xf numFmtId="9" fontId="8" fillId="0" borderId="3" xfId="2" applyNumberFormat="1" applyFont="1" applyBorder="1"/>
    <xf numFmtId="9" fontId="0" fillId="0" borderId="0" xfId="0" applyNumberFormat="1"/>
    <xf numFmtId="170" fontId="8" fillId="0" borderId="2" xfId="2" applyNumberFormat="1" applyFont="1" applyBorder="1"/>
    <xf numFmtId="170" fontId="8" fillId="0" borderId="3" xfId="2" applyNumberFormat="1" applyFont="1" applyBorder="1"/>
    <xf numFmtId="170" fontId="8" fillId="0" borderId="1" xfId="2" applyNumberFormat="1" applyFont="1" applyBorder="1"/>
    <xf numFmtId="169" fontId="7" fillId="0" borderId="8" xfId="2" applyNumberFormat="1" applyFont="1" applyBorder="1"/>
    <xf numFmtId="170" fontId="7" fillId="0" borderId="8" xfId="2" applyNumberFormat="1" applyFont="1" applyBorder="1"/>
    <xf numFmtId="170" fontId="8" fillId="0" borderId="0" xfId="2" applyNumberFormat="1" applyFont="1" applyBorder="1"/>
    <xf numFmtId="170" fontId="7" fillId="0" borderId="0" xfId="2" applyNumberFormat="1" applyFont="1" applyBorder="1"/>
    <xf numFmtId="170" fontId="7" fillId="0" borderId="3" xfId="2" applyNumberFormat="1" applyFont="1" applyBorder="1"/>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xf numFmtId="170" fontId="9" fillId="0" borderId="16" xfId="0" applyNumberFormat="1" applyFont="1" applyBorder="1"/>
    <xf numFmtId="170" fontId="9" fillId="0" borderId="2" xfId="0" applyNumberFormat="1" applyFont="1" applyBorder="1"/>
    <xf numFmtId="170" fontId="9" fillId="0" borderId="17" xfId="0" applyNumberFormat="1" applyFont="1" applyBorder="1"/>
    <xf numFmtId="0" fontId="10" fillId="0" borderId="18" xfId="0" applyFont="1" applyBorder="1"/>
    <xf numFmtId="170" fontId="10" fillId="0" borderId="19" xfId="0" applyNumberFormat="1" applyFont="1" applyBorder="1"/>
    <xf numFmtId="170" fontId="10" fillId="0" borderId="8" xfId="0" applyNumberFormat="1" applyFont="1" applyBorder="1"/>
    <xf numFmtId="170" fontId="10" fillId="0" borderId="20" xfId="0" applyNumberFormat="1" applyFont="1" applyBorder="1"/>
    <xf numFmtId="49" fontId="10" fillId="0" borderId="18" xfId="0" applyNumberFormat="1" applyFont="1" applyBorder="1"/>
    <xf numFmtId="49" fontId="10" fillId="5" borderId="18" xfId="0" applyNumberFormat="1" applyFont="1" applyFill="1" applyBorder="1"/>
    <xf numFmtId="170" fontId="10" fillId="5" borderId="19" xfId="0" applyNumberFormat="1" applyFont="1" applyFill="1" applyBorder="1"/>
    <xf numFmtId="170" fontId="10" fillId="5" borderId="8" xfId="0" applyNumberFormat="1" applyFont="1" applyFill="1" applyBorder="1"/>
    <xf numFmtId="170" fontId="10" fillId="5" borderId="20" xfId="0" applyNumberFormat="1" applyFont="1" applyFill="1" applyBorder="1"/>
    <xf numFmtId="170" fontId="9" fillId="0" borderId="21" xfId="0" applyNumberFormat="1" applyFont="1" applyBorder="1"/>
    <xf numFmtId="170" fontId="9" fillId="0" borderId="1" xfId="0" applyNumberFormat="1" applyFont="1" applyBorder="1"/>
    <xf numFmtId="170" fontId="9" fillId="0" borderId="22" xfId="0" applyNumberFormat="1" applyFont="1" applyBorder="1"/>
    <xf numFmtId="170" fontId="9" fillId="0" borderId="14" xfId="0" applyNumberFormat="1" applyFont="1" applyBorder="1"/>
    <xf numFmtId="170" fontId="9" fillId="0" borderId="3" xfId="0" applyNumberFormat="1" applyFont="1" applyBorder="1"/>
    <xf numFmtId="170" fontId="9" fillId="0" borderId="19" xfId="0" applyNumberFormat="1" applyFont="1" applyBorder="1"/>
    <xf numFmtId="49" fontId="10" fillId="3" borderId="18" xfId="0" applyNumberFormat="1" applyFont="1" applyFill="1" applyBorder="1"/>
    <xf numFmtId="170" fontId="9" fillId="3" borderId="19" xfId="0" applyNumberFormat="1" applyFont="1" applyFill="1" applyBorder="1"/>
    <xf numFmtId="170" fontId="10" fillId="3" borderId="8" xfId="0" applyNumberFormat="1" applyFont="1" applyFill="1" applyBorder="1"/>
    <xf numFmtId="170" fontId="10" fillId="3" borderId="20" xfId="0" applyNumberFormat="1" applyFont="1" applyFill="1" applyBorder="1"/>
    <xf numFmtId="170" fontId="10" fillId="3" borderId="19" xfId="0" applyNumberFormat="1" applyFont="1" applyFill="1" applyBorder="1"/>
    <xf numFmtId="49" fontId="9" fillId="0" borderId="13" xfId="0" applyNumberFormat="1" applyFont="1" applyBorder="1"/>
    <xf numFmtId="49" fontId="10" fillId="7" borderId="18" xfId="0" applyNumberFormat="1" applyFont="1" applyFill="1" applyBorder="1"/>
    <xf numFmtId="170" fontId="10" fillId="7" borderId="19" xfId="0" applyNumberFormat="1" applyFont="1" applyFill="1" applyBorder="1"/>
    <xf numFmtId="170" fontId="10" fillId="7" borderId="8" xfId="0" applyNumberFormat="1" applyFont="1" applyFill="1" applyBorder="1"/>
    <xf numFmtId="170" fontId="10" fillId="7" borderId="20" xfId="0" applyNumberFormat="1" applyFont="1" applyFill="1" applyBorder="1"/>
    <xf numFmtId="168" fontId="0" fillId="0" borderId="0" xfId="0" applyNumberFormat="1"/>
    <xf numFmtId="0" fontId="0" fillId="0" borderId="0" xfId="0" applyAlignment="1">
      <alignment horizontal="center" vertical="center" wrapText="1"/>
    </xf>
    <xf numFmtId="169" fontId="0" fillId="0" borderId="2" xfId="0" applyNumberFormat="1" applyBorder="1"/>
    <xf numFmtId="169" fontId="0" fillId="9" borderId="2" xfId="0" applyNumberFormat="1" applyFill="1" applyBorder="1"/>
    <xf numFmtId="170" fontId="0" fillId="9" borderId="2" xfId="0" applyNumberFormat="1" applyFill="1" applyBorder="1"/>
    <xf numFmtId="170" fontId="0" fillId="9" borderId="8" xfId="0" applyNumberFormat="1" applyFill="1" applyBorder="1"/>
    <xf numFmtId="164" fontId="8" fillId="0" borderId="0" xfId="1" applyFont="1"/>
    <xf numFmtId="164" fontId="8" fillId="0" borderId="0" xfId="1" applyNumberFormat="1" applyFont="1"/>
    <xf numFmtId="0" fontId="11" fillId="0" borderId="0" xfId="0" applyFont="1"/>
    <xf numFmtId="49" fontId="11" fillId="0" borderId="0" xfId="0" applyNumberFormat="1" applyFont="1"/>
    <xf numFmtId="170" fontId="11" fillId="0" borderId="0" xfId="0" applyNumberFormat="1" applyFont="1"/>
    <xf numFmtId="170" fontId="12" fillId="0" borderId="0" xfId="0" applyNumberFormat="1" applyFont="1"/>
    <xf numFmtId="0" fontId="12" fillId="0" borderId="0" xfId="0" applyFont="1"/>
    <xf numFmtId="0" fontId="13" fillId="0" borderId="3" xfId="0" applyFont="1" applyBorder="1" applyAlignment="1">
      <alignment horizontal="center" vertical="center" wrapText="1"/>
    </xf>
    <xf numFmtId="49" fontId="13" fillId="0" borderId="2" xfId="0" applyNumberFormat="1" applyFont="1" applyBorder="1"/>
    <xf numFmtId="170" fontId="13" fillId="0" borderId="2" xfId="0" applyNumberFormat="1" applyFont="1" applyBorder="1"/>
    <xf numFmtId="49" fontId="14" fillId="0" borderId="8" xfId="0" applyNumberFormat="1" applyFont="1" applyBorder="1"/>
    <xf numFmtId="170" fontId="14" fillId="0" borderId="8" xfId="0" applyNumberFormat="1" applyFont="1" applyBorder="1"/>
    <xf numFmtId="168" fontId="14" fillId="0" borderId="8" xfId="0" applyNumberFormat="1" applyFont="1" applyBorder="1"/>
    <xf numFmtId="170" fontId="0" fillId="0" borderId="0" xfId="0" applyNumberFormat="1" applyAlignment="1">
      <alignment horizontal="center" vertical="center" wrapText="1"/>
    </xf>
    <xf numFmtId="49" fontId="13" fillId="0" borderId="3" xfId="0" applyNumberFormat="1" applyFont="1" applyBorder="1"/>
    <xf numFmtId="170" fontId="13" fillId="0" borderId="3" xfId="0" applyNumberFormat="1" applyFont="1" applyBorder="1"/>
    <xf numFmtId="168" fontId="13" fillId="0" borderId="2" xfId="0" applyNumberFormat="1" applyFont="1" applyBorder="1"/>
    <xf numFmtId="168" fontId="13" fillId="0" borderId="3" xfId="0" applyNumberFormat="1" applyFont="1" applyBorder="1"/>
    <xf numFmtId="0" fontId="15" fillId="0" borderId="0" xfId="0" applyFont="1" applyAlignment="1">
      <alignment horizontal="justify" vertical="center"/>
    </xf>
    <xf numFmtId="0" fontId="17" fillId="0" borderId="0" xfId="0" applyFont="1" applyAlignment="1">
      <alignment horizontal="left"/>
    </xf>
    <xf numFmtId="0" fontId="18" fillId="0" borderId="0" xfId="0" applyFont="1" applyAlignment="1">
      <alignment horizontal="left"/>
    </xf>
    <xf numFmtId="0" fontId="0" fillId="10" borderId="4" xfId="0" applyFill="1" applyBorder="1"/>
    <xf numFmtId="0" fontId="0" fillId="10" borderId="25" xfId="0" applyFill="1" applyBorder="1"/>
    <xf numFmtId="0" fontId="0" fillId="10" borderId="6" xfId="0" applyFill="1" applyBorder="1"/>
    <xf numFmtId="0" fontId="0" fillId="10" borderId="26" xfId="0" applyFill="1" applyBorder="1"/>
    <xf numFmtId="16" fontId="0" fillId="0" borderId="3" xfId="0" applyNumberFormat="1" applyBorder="1" applyAlignment="1">
      <alignment horizontal="center" vertical="center"/>
    </xf>
    <xf numFmtId="0" fontId="0" fillId="3" borderId="8" xfId="0" applyFill="1" applyBorder="1"/>
    <xf numFmtId="165" fontId="0" fillId="3" borderId="8" xfId="0" applyNumberFormat="1" applyFill="1" applyBorder="1" applyAlignment="1">
      <alignment horizontal="center"/>
    </xf>
    <xf numFmtId="0" fontId="8" fillId="0" borderId="2" xfId="0" applyFont="1" applyBorder="1"/>
    <xf numFmtId="170" fontId="8" fillId="0" borderId="2" xfId="0" applyNumberFormat="1" applyFont="1" applyBorder="1"/>
    <xf numFmtId="0" fontId="7" fillId="0" borderId="3" xfId="0" applyFont="1" applyBorder="1"/>
    <xf numFmtId="170" fontId="7" fillId="0" borderId="3" xfId="0" applyNumberFormat="1" applyFont="1" applyBorder="1"/>
    <xf numFmtId="0" fontId="8" fillId="0" borderId="3" xfId="0" applyFont="1" applyBorder="1"/>
    <xf numFmtId="170" fontId="8" fillId="0" borderId="3" xfId="0" applyNumberFormat="1" applyFont="1" applyBorder="1"/>
    <xf numFmtId="0" fontId="21" fillId="0" borderId="8"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2" xfId="0" applyFont="1" applyBorder="1" applyAlignment="1">
      <alignment horizontal="right" vertical="center" wrapText="1"/>
    </xf>
    <xf numFmtId="3" fontId="3" fillId="0" borderId="2" xfId="0" applyNumberFormat="1" applyFont="1" applyBorder="1" applyAlignment="1">
      <alignment horizontal="right" vertical="center" wrapText="1"/>
    </xf>
    <xf numFmtId="0" fontId="22" fillId="0" borderId="2" xfId="0" applyFont="1" applyBorder="1" applyAlignment="1">
      <alignment horizontal="justify" vertical="center" wrapText="1"/>
    </xf>
    <xf numFmtId="0" fontId="22" fillId="0" borderId="2" xfId="0" applyFont="1" applyBorder="1" applyAlignment="1">
      <alignment horizontal="right" vertical="center" wrapText="1"/>
    </xf>
    <xf numFmtId="3" fontId="21" fillId="0" borderId="8" xfId="0" applyNumberFormat="1" applyFont="1" applyBorder="1" applyAlignment="1">
      <alignment horizontal="right" vertical="center" wrapText="1"/>
    </xf>
    <xf numFmtId="0" fontId="7" fillId="5" borderId="3" xfId="0" applyFont="1" applyFill="1" applyBorder="1"/>
    <xf numFmtId="170" fontId="7" fillId="5" borderId="3" xfId="0" applyNumberFormat="1" applyFont="1" applyFill="1" applyBorder="1"/>
    <xf numFmtId="3" fontId="21" fillId="5" borderId="2" xfId="0" applyNumberFormat="1" applyFont="1" applyFill="1" applyBorder="1" applyAlignment="1">
      <alignment horizontal="right" vertical="center" wrapText="1"/>
    </xf>
    <xf numFmtId="0" fontId="24" fillId="0" borderId="0" xfId="0" applyFont="1" applyAlignment="1">
      <alignment horizontal="justify" vertical="center"/>
    </xf>
    <xf numFmtId="0" fontId="0" fillId="11" borderId="4" xfId="0" applyFill="1" applyBorder="1"/>
    <xf numFmtId="0" fontId="0" fillId="11" borderId="4" xfId="0" applyFill="1" applyBorder="1" applyAlignment="1">
      <alignment horizontal="center"/>
    </xf>
    <xf numFmtId="170" fontId="0" fillId="11" borderId="4" xfId="0" applyNumberFormat="1" applyFill="1" applyBorder="1"/>
    <xf numFmtId="169" fontId="0" fillId="11" borderId="4" xfId="0" applyNumberFormat="1" applyFill="1" applyBorder="1"/>
    <xf numFmtId="0" fontId="0" fillId="11" borderId="5" xfId="0" applyFill="1" applyBorder="1"/>
    <xf numFmtId="0" fontId="0" fillId="11" borderId="5" xfId="0" applyFill="1" applyBorder="1" applyAlignment="1">
      <alignment horizontal="center"/>
    </xf>
    <xf numFmtId="170" fontId="0" fillId="11" borderId="5" xfId="0" applyNumberFormat="1" applyFill="1" applyBorder="1"/>
    <xf numFmtId="0" fontId="0" fillId="11" borderId="6" xfId="0" applyFill="1" applyBorder="1"/>
    <xf numFmtId="0" fontId="0" fillId="11" borderId="6" xfId="0" applyFill="1" applyBorder="1" applyAlignment="1">
      <alignment horizontal="center"/>
    </xf>
    <xf numFmtId="170" fontId="0" fillId="11" borderId="6" xfId="0" applyNumberFormat="1" applyFill="1" applyBorder="1"/>
    <xf numFmtId="169" fontId="0" fillId="11" borderId="6" xfId="0" applyNumberFormat="1" applyFill="1" applyBorder="1"/>
    <xf numFmtId="0" fontId="0" fillId="0" borderId="8" xfId="0" applyFill="1" applyBorder="1"/>
    <xf numFmtId="166" fontId="2" fillId="0" borderId="6" xfId="0" applyNumberFormat="1" applyFont="1" applyFill="1" applyBorder="1"/>
    <xf numFmtId="0" fontId="25" fillId="0" borderId="0" xfId="0" applyFont="1" applyAlignment="1">
      <alignment horizontal="left" vertical="center"/>
    </xf>
    <xf numFmtId="166" fontId="2" fillId="3" borderId="8" xfId="0" applyNumberFormat="1" applyFont="1" applyFill="1" applyBorder="1" applyAlignment="1">
      <alignment horizontal="right"/>
    </xf>
    <xf numFmtId="0" fontId="0" fillId="0" borderId="4" xfId="0" applyFill="1" applyBorder="1"/>
    <xf numFmtId="0" fontId="0" fillId="0" borderId="5" xfId="0" applyFill="1" applyBorder="1"/>
    <xf numFmtId="0" fontId="27" fillId="0" borderId="0" xfId="0" applyFont="1" applyFill="1" applyBorder="1"/>
    <xf numFmtId="2" fontId="0" fillId="0" borderId="4" xfId="0" applyNumberFormat="1" applyBorder="1"/>
    <xf numFmtId="0" fontId="0" fillId="0" borderId="7" xfId="0" applyFill="1" applyBorder="1"/>
    <xf numFmtId="170" fontId="0" fillId="0" borderId="7" xfId="0" applyNumberFormat="1" applyBorder="1"/>
    <xf numFmtId="170" fontId="2" fillId="9" borderId="4" xfId="0" applyNumberFormat="1" applyFont="1" applyFill="1" applyBorder="1"/>
    <xf numFmtId="170" fontId="2" fillId="9" borderId="6" xfId="0" applyNumberFormat="1" applyFont="1" applyFill="1" applyBorder="1"/>
    <xf numFmtId="168" fontId="0" fillId="9" borderId="8" xfId="0" applyNumberFormat="1" applyFill="1" applyBorder="1"/>
    <xf numFmtId="168" fontId="0" fillId="0" borderId="8" xfId="0" applyNumberFormat="1" applyBorder="1"/>
    <xf numFmtId="170" fontId="0" fillId="0" borderId="8" xfId="0" applyNumberFormat="1" applyBorder="1"/>
    <xf numFmtId="164" fontId="0" fillId="0" borderId="4" xfId="1" applyFont="1" applyBorder="1"/>
    <xf numFmtId="170" fontId="2" fillId="11" borderId="3" xfId="0" applyNumberFormat="1" applyFont="1" applyFill="1" applyBorder="1"/>
    <xf numFmtId="0" fontId="28" fillId="0" borderId="0" xfId="2" applyFont="1"/>
    <xf numFmtId="0" fontId="8" fillId="0" borderId="1" xfId="0" applyFont="1" applyFill="1" applyBorder="1"/>
    <xf numFmtId="14" fontId="8" fillId="0" borderId="1" xfId="0" applyNumberFormat="1" applyFont="1" applyFill="1" applyBorder="1" applyAlignment="1">
      <alignment horizontal="center"/>
    </xf>
    <xf numFmtId="3" fontId="8" fillId="0" borderId="1" xfId="0" applyNumberFormat="1" applyFont="1" applyFill="1" applyBorder="1"/>
    <xf numFmtId="0" fontId="8" fillId="0" borderId="2" xfId="0" applyFont="1" applyFill="1" applyBorder="1"/>
    <xf numFmtId="14" fontId="8" fillId="0" borderId="2" xfId="0" applyNumberFormat="1" applyFont="1" applyFill="1" applyBorder="1" applyAlignment="1">
      <alignment horizontal="center"/>
    </xf>
    <xf numFmtId="3" fontId="8" fillId="0" borderId="2" xfId="0" applyNumberFormat="1" applyFont="1" applyFill="1" applyBorder="1"/>
    <xf numFmtId="0" fontId="8" fillId="0" borderId="3" xfId="0" applyFont="1" applyFill="1" applyBorder="1"/>
    <xf numFmtId="14" fontId="8" fillId="0" borderId="3" xfId="0" applyNumberFormat="1" applyFont="1" applyFill="1" applyBorder="1" applyAlignment="1">
      <alignment horizontal="center"/>
    </xf>
    <xf numFmtId="3" fontId="8" fillId="0" borderId="3" xfId="0" applyNumberFormat="1" applyFont="1" applyFill="1" applyBorder="1"/>
    <xf numFmtId="170" fontId="7" fillId="5" borderId="8" xfId="2" applyNumberFormat="1" applyFont="1" applyFill="1" applyBorder="1"/>
    <xf numFmtId="168" fontId="0" fillId="0" borderId="5" xfId="0" applyNumberFormat="1" applyBorder="1" applyAlignment="1">
      <alignment vertical="center"/>
    </xf>
    <xf numFmtId="179" fontId="7" fillId="3" borderId="8" xfId="2" applyNumberFormat="1" applyFont="1" applyFill="1" applyBorder="1"/>
    <xf numFmtId="180" fontId="0" fillId="0" borderId="4" xfId="1" applyNumberFormat="1" applyFont="1" applyBorder="1"/>
    <xf numFmtId="180" fontId="0" fillId="11" borderId="4" xfId="1" applyNumberFormat="1" applyFont="1" applyFill="1" applyBorder="1"/>
    <xf numFmtId="180" fontId="0" fillId="9" borderId="4" xfId="1" applyNumberFormat="1" applyFont="1" applyFill="1" applyBorder="1"/>
    <xf numFmtId="3" fontId="7" fillId="0" borderId="8" xfId="2" applyNumberFormat="1" applyFont="1" applyBorder="1"/>
    <xf numFmtId="166" fontId="0" fillId="3" borderId="8" xfId="0" applyNumberFormat="1" applyFill="1" applyBorder="1" applyAlignment="1"/>
    <xf numFmtId="0" fontId="0" fillId="0" borderId="13" xfId="0" applyFont="1" applyBorder="1"/>
    <xf numFmtId="0" fontId="0" fillId="0" borderId="2" xfId="0" applyFont="1" applyBorder="1"/>
    <xf numFmtId="179" fontId="2" fillId="0" borderId="3" xfId="1" applyNumberFormat="1" applyFont="1" applyBorder="1"/>
    <xf numFmtId="179" fontId="2" fillId="11" borderId="3" xfId="1" applyNumberFormat="1" applyFont="1" applyFill="1" applyBorder="1"/>
    <xf numFmtId="164" fontId="2" fillId="0" borderId="3" xfId="1" applyFont="1" applyBorder="1"/>
    <xf numFmtId="164" fontId="2" fillId="11" borderId="3" xfId="1" applyFont="1" applyFill="1" applyBorder="1"/>
    <xf numFmtId="0" fontId="31" fillId="0" borderId="8" xfId="0" applyFont="1" applyBorder="1" applyAlignment="1">
      <alignment vertical="center"/>
    </xf>
    <xf numFmtId="3" fontId="31" fillId="0" borderId="8" xfId="0" applyNumberFormat="1" applyFont="1" applyBorder="1" applyAlignment="1">
      <alignment horizontal="right" vertical="center"/>
    </xf>
    <xf numFmtId="0" fontId="32" fillId="0" borderId="7" xfId="0" applyFont="1" applyBorder="1" applyAlignment="1">
      <alignment vertical="center"/>
    </xf>
    <xf numFmtId="3" fontId="32" fillId="0" borderId="7" xfId="0" applyNumberFormat="1" applyFont="1" applyBorder="1" applyAlignment="1">
      <alignment horizontal="right" vertical="center"/>
    </xf>
    <xf numFmtId="0" fontId="32" fillId="0" borderId="5" xfId="0" applyFont="1" applyBorder="1" applyAlignment="1">
      <alignment vertical="center"/>
    </xf>
    <xf numFmtId="3" fontId="32" fillId="0" borderId="5" xfId="0" applyNumberFormat="1" applyFont="1" applyBorder="1" applyAlignment="1">
      <alignment horizontal="right" vertical="center"/>
    </xf>
    <xf numFmtId="0" fontId="32" fillId="0" borderId="5" xfId="0" applyFont="1" applyBorder="1" applyAlignment="1">
      <alignment horizontal="right" vertical="center"/>
    </xf>
    <xf numFmtId="0" fontId="31" fillId="0" borderId="3" xfId="0" applyFont="1" applyBorder="1" applyAlignment="1">
      <alignment vertical="center"/>
    </xf>
    <xf numFmtId="3" fontId="31" fillId="0" borderId="3" xfId="0" applyNumberFormat="1" applyFont="1" applyBorder="1" applyAlignment="1">
      <alignment horizontal="right" vertical="center"/>
    </xf>
    <xf numFmtId="0" fontId="32" fillId="0" borderId="6" xfId="0" applyFont="1" applyBorder="1" applyAlignment="1">
      <alignment vertical="center"/>
    </xf>
    <xf numFmtId="0" fontId="32" fillId="0" borderId="6" xfId="0" applyFont="1" applyBorder="1" applyAlignment="1">
      <alignment horizontal="right" vertical="center"/>
    </xf>
    <xf numFmtId="0" fontId="26" fillId="0" borderId="0" xfId="0" applyFont="1"/>
    <xf numFmtId="0" fontId="27" fillId="0" borderId="0" xfId="0" applyFont="1"/>
    <xf numFmtId="0" fontId="28" fillId="0" borderId="0" xfId="0" applyFont="1"/>
    <xf numFmtId="0" fontId="13" fillId="6" borderId="8" xfId="0" applyFont="1" applyFill="1" applyBorder="1" applyAlignment="1">
      <alignment horizontal="left" vertical="center" wrapText="1"/>
    </xf>
    <xf numFmtId="172" fontId="13" fillId="6" borderId="8" xfId="0" applyNumberFormat="1" applyFont="1" applyFill="1" applyBorder="1" applyAlignment="1">
      <alignment horizontal="center" vertical="center" wrapText="1"/>
    </xf>
    <xf numFmtId="173" fontId="13" fillId="6" borderId="8" xfId="0" applyNumberFormat="1" applyFont="1" applyFill="1" applyBorder="1" applyAlignment="1">
      <alignment horizontal="center" vertical="center" wrapText="1"/>
    </xf>
    <xf numFmtId="176" fontId="13" fillId="6" borderId="8" xfId="0" applyNumberFormat="1" applyFont="1" applyFill="1" applyBorder="1" applyAlignment="1">
      <alignment horizontal="center" vertical="center" wrapText="1"/>
    </xf>
    <xf numFmtId="174" fontId="13" fillId="6" borderId="8" xfId="0" applyNumberFormat="1" applyFont="1" applyFill="1" applyBorder="1" applyAlignment="1">
      <alignment horizontal="center" vertical="center" wrapText="1"/>
    </xf>
    <xf numFmtId="175" fontId="13" fillId="6" borderId="8" xfId="0" applyNumberFormat="1" applyFont="1" applyFill="1" applyBorder="1" applyAlignment="1">
      <alignment horizontal="center" vertical="center" wrapText="1"/>
    </xf>
    <xf numFmtId="0" fontId="13" fillId="5" borderId="8" xfId="0" applyFont="1" applyFill="1" applyBorder="1" applyAlignment="1">
      <alignment horizontal="left" vertical="center" wrapText="1"/>
    </xf>
    <xf numFmtId="178" fontId="13" fillId="5" borderId="8" xfId="0" applyNumberFormat="1" applyFont="1" applyFill="1" applyBorder="1" applyAlignment="1">
      <alignment horizontal="center" vertical="center" wrapText="1"/>
    </xf>
    <xf numFmtId="177" fontId="13" fillId="5" borderId="8" xfId="0" applyNumberFormat="1" applyFont="1" applyFill="1" applyBorder="1" applyAlignment="1">
      <alignment horizontal="center" vertical="center" wrapText="1"/>
    </xf>
    <xf numFmtId="181" fontId="4" fillId="0" borderId="0" xfId="1" applyNumberFormat="1" applyFont="1"/>
    <xf numFmtId="181" fontId="5" fillId="0" borderId="0" xfId="1" applyNumberFormat="1" applyFont="1"/>
    <xf numFmtId="182" fontId="4" fillId="0" borderId="0" xfId="1" applyNumberFormat="1" applyFont="1"/>
    <xf numFmtId="182" fontId="5" fillId="0" borderId="0" xfId="1" applyNumberFormat="1" applyFont="1"/>
    <xf numFmtId="1" fontId="3" fillId="0" borderId="2" xfId="0" applyNumberFormat="1" applyFont="1" applyBorder="1" applyAlignment="1">
      <alignment horizontal="right" vertical="center" wrapText="1"/>
    </xf>
    <xf numFmtId="0" fontId="34" fillId="0" borderId="0" xfId="0" applyFont="1" applyAlignment="1">
      <alignment horizontal="left"/>
    </xf>
    <xf numFmtId="3" fontId="0" fillId="0" borderId="1" xfId="0" applyNumberFormat="1" applyFont="1" applyFill="1" applyBorder="1" applyAlignment="1"/>
    <xf numFmtId="3" fontId="0" fillId="0" borderId="0" xfId="0" applyNumberFormat="1" applyFont="1" applyFill="1"/>
    <xf numFmtId="0" fontId="0" fillId="0" borderId="0" xfId="0" applyFont="1" applyFill="1"/>
    <xf numFmtId="3" fontId="0" fillId="0" borderId="3" xfId="0" applyNumberFormat="1" applyFont="1" applyFill="1" applyBorder="1"/>
    <xf numFmtId="0" fontId="15" fillId="8" borderId="18" xfId="0" applyFont="1" applyFill="1" applyBorder="1" applyAlignment="1">
      <alignment horizontal="left" wrapText="1"/>
    </xf>
    <xf numFmtId="0" fontId="15" fillId="8" borderId="24" xfId="0" applyFont="1" applyFill="1" applyBorder="1" applyAlignment="1">
      <alignment horizontal="left" wrapText="1"/>
    </xf>
    <xf numFmtId="0" fontId="15" fillId="8" borderId="23" xfId="0" applyFont="1" applyFill="1" applyBorder="1" applyAlignment="1">
      <alignment horizontal="left" wrapText="1"/>
    </xf>
    <xf numFmtId="0" fontId="15" fillId="10" borderId="18" xfId="0" applyFont="1" applyFill="1" applyBorder="1" applyAlignment="1">
      <alignment horizontal="left" vertical="center" wrapText="1"/>
    </xf>
    <xf numFmtId="0" fontId="15" fillId="10" borderId="24" xfId="0" applyFont="1" applyFill="1" applyBorder="1" applyAlignment="1">
      <alignment horizontal="left" vertical="center" wrapText="1"/>
    </xf>
    <xf numFmtId="0" fontId="15" fillId="10" borderId="23" xfId="0" applyFont="1" applyFill="1" applyBorder="1" applyAlignment="1">
      <alignment horizontal="left" vertical="center" wrapText="1"/>
    </xf>
    <xf numFmtId="0" fontId="11" fillId="8" borderId="18" xfId="0" applyFont="1" applyFill="1" applyBorder="1" applyAlignment="1">
      <alignment horizontal="left" wrapText="1"/>
    </xf>
    <xf numFmtId="0" fontId="11" fillId="8" borderId="24" xfId="0" applyFont="1" applyFill="1" applyBorder="1" applyAlignment="1">
      <alignment horizontal="left" wrapText="1"/>
    </xf>
    <xf numFmtId="0" fontId="11" fillId="8" borderId="23" xfId="0" applyFont="1" applyFill="1" applyBorder="1" applyAlignment="1">
      <alignment horizontal="left" wrapText="1"/>
    </xf>
    <xf numFmtId="0" fontId="15" fillId="7" borderId="8" xfId="0" applyFont="1" applyFill="1" applyBorder="1" applyAlignment="1">
      <alignment horizontal="left" vertical="center" wrapText="1"/>
    </xf>
    <xf numFmtId="170" fontId="2" fillId="4" borderId="1" xfId="0" applyNumberFormat="1" applyFont="1" applyFill="1" applyBorder="1" applyAlignment="1">
      <alignment horizontal="center" vertical="center"/>
    </xf>
    <xf numFmtId="170" fontId="2" fillId="4" borderId="2" xfId="0" applyNumberFormat="1" applyFont="1" applyFill="1" applyBorder="1" applyAlignment="1">
      <alignment horizontal="center" vertical="center"/>
    </xf>
    <xf numFmtId="170" fontId="2" fillId="4" borderId="3" xfId="0" applyNumberFormat="1" applyFont="1" applyFill="1" applyBorder="1" applyAlignment="1">
      <alignment horizontal="center" vertical="center"/>
    </xf>
    <xf numFmtId="170" fontId="2" fillId="5" borderId="1" xfId="0" applyNumberFormat="1" applyFont="1" applyFill="1" applyBorder="1" applyAlignment="1">
      <alignment horizontal="center" vertical="center"/>
    </xf>
    <xf numFmtId="170" fontId="2" fillId="5" borderId="2" xfId="0" applyNumberFormat="1" applyFont="1" applyFill="1" applyBorder="1" applyAlignment="1">
      <alignment horizontal="center" vertical="center"/>
    </xf>
    <xf numFmtId="170" fontId="2" fillId="5" borderId="3" xfId="0" applyNumberFormat="1" applyFont="1" applyFill="1" applyBorder="1" applyAlignment="1">
      <alignment horizontal="center" vertical="center"/>
    </xf>
    <xf numFmtId="169" fontId="2" fillId="3" borderId="1" xfId="0" applyNumberFormat="1" applyFont="1" applyFill="1" applyBorder="1" applyAlignment="1">
      <alignment horizontal="center" vertical="center"/>
    </xf>
    <xf numFmtId="169" fontId="2" fillId="3" borderId="2" xfId="0" applyNumberFormat="1" applyFont="1" applyFill="1" applyBorder="1" applyAlignment="1">
      <alignment horizontal="center" vertical="center"/>
    </xf>
    <xf numFmtId="169" fontId="2" fillId="3" borderId="3" xfId="0" applyNumberFormat="1" applyFont="1" applyFill="1" applyBorder="1" applyAlignment="1">
      <alignment horizontal="center" vertical="center"/>
    </xf>
    <xf numFmtId="0" fontId="15" fillId="7" borderId="18" xfId="0" applyFont="1" applyFill="1" applyBorder="1" applyAlignment="1">
      <alignment horizontal="left" vertical="center" wrapText="1"/>
    </xf>
    <xf numFmtId="0" fontId="15" fillId="7" borderId="24" xfId="0" applyFont="1" applyFill="1" applyBorder="1" applyAlignment="1">
      <alignment horizontal="left" vertical="center" wrapText="1"/>
    </xf>
    <xf numFmtId="0" fontId="15" fillId="7" borderId="23" xfId="0" applyFont="1" applyFill="1" applyBorder="1" applyAlignment="1">
      <alignment horizontal="left" vertical="center" wrapText="1"/>
    </xf>
    <xf numFmtId="0" fontId="23" fillId="12" borderId="8" xfId="0" applyFont="1" applyFill="1" applyBorder="1" applyAlignment="1">
      <alignment horizontal="center"/>
    </xf>
    <xf numFmtId="0" fontId="20" fillId="0" borderId="8" xfId="0" applyFont="1" applyBorder="1" applyAlignment="1">
      <alignment horizontal="center" vertical="center" wrapText="1"/>
    </xf>
    <xf numFmtId="0" fontId="19" fillId="9" borderId="8" xfId="0" applyFont="1" applyFill="1" applyBorder="1" applyAlignment="1">
      <alignment horizontal="center"/>
    </xf>
    <xf numFmtId="0" fontId="23" fillId="12" borderId="1" xfId="0" applyFont="1" applyFill="1" applyBorder="1" applyAlignment="1">
      <alignment horizontal="center"/>
    </xf>
    <xf numFmtId="0" fontId="15" fillId="10" borderId="8"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11" fillId="7" borderId="18" xfId="0" applyFont="1" applyFill="1" applyBorder="1" applyAlignment="1">
      <alignment horizontal="left" vertical="center" wrapText="1"/>
    </xf>
    <xf numFmtId="0" fontId="11" fillId="7" borderId="24" xfId="0" applyFont="1" applyFill="1" applyBorder="1" applyAlignment="1">
      <alignment horizontal="left" vertical="center" wrapText="1"/>
    </xf>
    <xf numFmtId="0" fontId="11" fillId="7" borderId="23" xfId="0" applyFont="1" applyFill="1" applyBorder="1" applyAlignment="1">
      <alignment horizontal="left" vertical="center" wrapText="1"/>
    </xf>
    <xf numFmtId="0" fontId="9" fillId="0" borderId="21" xfId="0" applyFont="1" applyBorder="1" applyAlignment="1">
      <alignment horizontal="center"/>
    </xf>
    <xf numFmtId="0" fontId="9" fillId="0" borderId="1" xfId="0" applyFont="1" applyBorder="1" applyAlignment="1">
      <alignment horizontal="center"/>
    </xf>
    <xf numFmtId="0" fontId="9" fillId="0" borderId="22" xfId="0" applyFont="1" applyBorder="1" applyAlignment="1">
      <alignment horizont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166" fontId="2" fillId="0" borderId="1" xfId="0" applyNumberFormat="1" applyFont="1" applyBorder="1" applyAlignment="1">
      <alignment horizontal="center" vertical="center"/>
    </xf>
    <xf numFmtId="166" fontId="2" fillId="0" borderId="2" xfId="0" applyNumberFormat="1" applyFont="1" applyBorder="1" applyAlignment="1">
      <alignment horizontal="center" vertical="center"/>
    </xf>
    <xf numFmtId="166" fontId="2" fillId="0" borderId="3" xfId="0" applyNumberFormat="1" applyFont="1" applyBorder="1" applyAlignment="1">
      <alignment horizontal="center" vertical="center"/>
    </xf>
    <xf numFmtId="166" fontId="2" fillId="2" borderId="1" xfId="0" applyNumberFormat="1" applyFont="1" applyFill="1" applyBorder="1" applyAlignment="1">
      <alignment horizontal="center" vertical="center"/>
    </xf>
    <xf numFmtId="166" fontId="2" fillId="2" borderId="2" xfId="0" applyNumberFormat="1" applyFont="1" applyFill="1" applyBorder="1" applyAlignment="1">
      <alignment horizontal="center" vertical="center"/>
    </xf>
    <xf numFmtId="166" fontId="2" fillId="2" borderId="3" xfId="0" applyNumberFormat="1" applyFont="1"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8" xfId="0" applyFill="1" applyBorder="1" applyAlignment="1">
      <alignment horizontal="left"/>
    </xf>
    <xf numFmtId="0" fontId="0" fillId="0" borderId="24" xfId="0" applyFill="1" applyBorder="1" applyAlignment="1">
      <alignment horizontal="left"/>
    </xf>
    <xf numFmtId="0" fontId="0" fillId="0" borderId="23" xfId="0" applyFill="1" applyBorder="1" applyAlignment="1">
      <alignment horizontal="left"/>
    </xf>
    <xf numFmtId="0" fontId="15" fillId="12" borderId="18" xfId="0" applyFont="1" applyFill="1" applyBorder="1" applyAlignment="1">
      <alignment horizontal="left" vertical="center" wrapText="1"/>
    </xf>
    <xf numFmtId="0" fontId="15" fillId="12" borderId="24" xfId="0" applyFont="1" applyFill="1" applyBorder="1" applyAlignment="1">
      <alignment horizontal="left" vertical="center" wrapText="1"/>
    </xf>
    <xf numFmtId="0" fontId="15" fillId="12" borderId="23" xfId="0" applyFont="1" applyFill="1" applyBorder="1" applyAlignment="1">
      <alignment horizontal="left" vertical="center" wrapText="1"/>
    </xf>
    <xf numFmtId="3" fontId="0" fillId="3" borderId="8" xfId="0" applyNumberFormat="1" applyFill="1" applyBorder="1" applyAlignment="1">
      <alignment horizontal="center"/>
    </xf>
    <xf numFmtId="3" fontId="0" fillId="0" borderId="2" xfId="0" applyNumberFormat="1" applyFont="1" applyFill="1" applyBorder="1" applyAlignment="1">
      <alignment horizontal="center"/>
    </xf>
    <xf numFmtId="3" fontId="0" fillId="0" borderId="3" xfId="0" applyNumberFormat="1" applyFont="1" applyFill="1" applyBorder="1" applyAlignment="1">
      <alignment horizontal="center"/>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28" xfId="0" applyFont="1" applyFill="1" applyBorder="1" applyAlignment="1">
      <alignment horizontal="left"/>
    </xf>
    <xf numFmtId="0" fontId="0" fillId="0" borderId="9" xfId="0" applyFont="1" applyFill="1" applyBorder="1" applyAlignment="1">
      <alignment horizontal="left"/>
    </xf>
    <xf numFmtId="0" fontId="0" fillId="0" borderId="10" xfId="0" applyFont="1" applyBorder="1" applyAlignment="1">
      <alignment horizontal="left"/>
    </xf>
    <xf numFmtId="0" fontId="0" fillId="0" borderId="27" xfId="0" applyFont="1" applyBorder="1" applyAlignment="1">
      <alignment horizontal="left"/>
    </xf>
    <xf numFmtId="0" fontId="0" fillId="0" borderId="12" xfId="0" applyFont="1" applyBorder="1" applyAlignment="1">
      <alignment horizontal="left"/>
    </xf>
    <xf numFmtId="0" fontId="0" fillId="0" borderId="28" xfId="0" applyFont="1" applyBorder="1" applyAlignment="1">
      <alignment horizontal="left"/>
    </xf>
    <xf numFmtId="0" fontId="0" fillId="0" borderId="1" xfId="0" applyFont="1" applyFill="1" applyBorder="1" applyAlignment="1">
      <alignment horizontal="left"/>
    </xf>
    <xf numFmtId="0" fontId="0" fillId="3" borderId="18" xfId="0" applyFill="1" applyBorder="1" applyAlignment="1">
      <alignment horizontal="left"/>
    </xf>
    <xf numFmtId="0" fontId="0" fillId="3" borderId="24" xfId="0" applyFill="1" applyBorder="1" applyAlignment="1">
      <alignment horizontal="left"/>
    </xf>
    <xf numFmtId="0" fontId="0" fillId="0" borderId="1" xfId="0" applyBorder="1" applyAlignment="1">
      <alignment horizontal="center" vertical="center" wrapText="1"/>
    </xf>
    <xf numFmtId="0" fontId="0" fillId="0" borderId="3" xfId="0" applyBorder="1" applyAlignment="1">
      <alignment horizontal="center" vertical="center" wrapText="1"/>
    </xf>
    <xf numFmtId="165" fontId="0" fillId="0" borderId="1" xfId="0" applyNumberFormat="1" applyBorder="1" applyAlignment="1">
      <alignment horizontal="center" vertical="center"/>
    </xf>
    <xf numFmtId="165" fontId="0" fillId="0" borderId="2" xfId="0" applyNumberFormat="1" applyBorder="1" applyAlignment="1">
      <alignment horizontal="center" vertical="center"/>
    </xf>
    <xf numFmtId="165" fontId="0" fillId="0" borderId="3" xfId="0" applyNumberFormat="1" applyBorder="1" applyAlignment="1">
      <alignment horizontal="center" vertical="center"/>
    </xf>
    <xf numFmtId="165" fontId="0" fillId="2" borderId="1" xfId="0" applyNumberFormat="1" applyFill="1" applyBorder="1" applyAlignment="1">
      <alignment horizontal="center" vertical="center"/>
    </xf>
    <xf numFmtId="165" fontId="0" fillId="2" borderId="2" xfId="0" applyNumberFormat="1" applyFill="1" applyBorder="1" applyAlignment="1">
      <alignment horizontal="center" vertical="center"/>
    </xf>
    <xf numFmtId="165" fontId="0" fillId="2" borderId="3" xfId="0" applyNumberFormat="1" applyFill="1" applyBorder="1" applyAlignment="1">
      <alignment horizontal="center" vertical="center"/>
    </xf>
    <xf numFmtId="0" fontId="0" fillId="0" borderId="0" xfId="0" applyAlignment="1">
      <alignment horizontal="center"/>
    </xf>
    <xf numFmtId="0" fontId="0" fillId="0" borderId="9" xfId="0" applyBorder="1" applyAlignment="1">
      <alignment horizontal="center"/>
    </xf>
    <xf numFmtId="0" fontId="0" fillId="0" borderId="27" xfId="0" applyBorder="1" applyAlignment="1">
      <alignment horizontal="center"/>
    </xf>
    <xf numFmtId="170" fontId="2" fillId="11" borderId="18" xfId="0" applyNumberFormat="1" applyFont="1" applyFill="1" applyBorder="1" applyAlignment="1">
      <alignment horizontal="center"/>
    </xf>
    <xf numFmtId="170" fontId="2" fillId="11" borderId="24" xfId="0" applyNumberFormat="1" applyFont="1" applyFill="1" applyBorder="1" applyAlignment="1">
      <alignment horizontal="center"/>
    </xf>
    <xf numFmtId="170" fontId="2" fillId="11" borderId="23" xfId="0" applyNumberFormat="1" applyFont="1" applyFill="1" applyBorder="1" applyAlignment="1">
      <alignment horizontal="center"/>
    </xf>
    <xf numFmtId="0" fontId="0" fillId="9" borderId="1" xfId="0" applyFill="1" applyBorder="1" applyAlignment="1">
      <alignment horizontal="center" vertical="center" wrapText="1"/>
    </xf>
    <xf numFmtId="0" fontId="0" fillId="9" borderId="3" xfId="0" applyFill="1" applyBorder="1" applyAlignment="1">
      <alignment horizontal="center" vertical="center" wrapText="1"/>
    </xf>
    <xf numFmtId="0" fontId="0" fillId="0" borderId="1" xfId="0" applyBorder="1" applyAlignment="1">
      <alignment horizontal="left" vertical="center"/>
    </xf>
    <xf numFmtId="0" fontId="0" fillId="0" borderId="3" xfId="0" applyBorder="1" applyAlignment="1">
      <alignment horizontal="left" vertical="center"/>
    </xf>
    <xf numFmtId="0" fontId="0" fillId="0" borderId="9" xfId="0" applyBorder="1" applyAlignment="1">
      <alignment horizontal="center" vertical="center"/>
    </xf>
    <xf numFmtId="0" fontId="0" fillId="0" borderId="27" xfId="0" applyBorder="1" applyAlignment="1">
      <alignment horizontal="center" vertical="center"/>
    </xf>
    <xf numFmtId="168" fontId="2" fillId="2" borderId="4" xfId="0" applyNumberFormat="1" applyFont="1" applyFill="1" applyBorder="1" applyAlignment="1">
      <alignment horizontal="right" vertical="center"/>
    </xf>
    <xf numFmtId="168" fontId="2" fillId="2" borderId="5" xfId="0" applyNumberFormat="1" applyFont="1" applyFill="1" applyBorder="1" applyAlignment="1">
      <alignment horizontal="right" vertical="center"/>
    </xf>
    <xf numFmtId="168" fontId="2" fillId="6" borderId="5" xfId="0" applyNumberFormat="1" applyFont="1" applyFill="1" applyBorder="1" applyAlignment="1">
      <alignment horizontal="right" vertical="center"/>
    </xf>
    <xf numFmtId="168" fontId="2" fillId="6" borderId="6" xfId="0" applyNumberFormat="1" applyFont="1" applyFill="1" applyBorder="1" applyAlignment="1">
      <alignment horizontal="right" vertical="center"/>
    </xf>
    <xf numFmtId="168" fontId="2" fillId="2" borderId="1" xfId="0" applyNumberFormat="1" applyFont="1" applyFill="1" applyBorder="1" applyAlignment="1">
      <alignment horizontal="right" vertical="center"/>
    </xf>
    <xf numFmtId="168" fontId="2" fillId="2" borderId="7" xfId="0" applyNumberFormat="1" applyFont="1" applyFill="1" applyBorder="1" applyAlignment="1">
      <alignment horizontal="right" vertical="center"/>
    </xf>
    <xf numFmtId="168" fontId="2" fillId="6" borderId="29" xfId="0" applyNumberFormat="1" applyFont="1" applyFill="1" applyBorder="1" applyAlignment="1">
      <alignment horizontal="right" vertical="center"/>
    </xf>
    <xf numFmtId="168" fontId="2" fillId="6" borderId="2" xfId="0" applyNumberFormat="1" applyFont="1" applyFill="1" applyBorder="1" applyAlignment="1">
      <alignment horizontal="right" vertical="center"/>
    </xf>
    <xf numFmtId="168" fontId="2" fillId="6" borderId="3" xfId="0" applyNumberFormat="1" applyFont="1" applyFill="1" applyBorder="1" applyAlignment="1">
      <alignment horizontal="right" vertical="center"/>
    </xf>
    <xf numFmtId="170" fontId="8" fillId="11" borderId="18" xfId="2" applyNumberFormat="1" applyFont="1" applyFill="1" applyBorder="1" applyAlignment="1">
      <alignment horizontal="center"/>
    </xf>
    <xf numFmtId="170" fontId="8" fillId="11" borderId="24" xfId="2" applyNumberFormat="1" applyFont="1" applyFill="1" applyBorder="1" applyAlignment="1">
      <alignment horizontal="center"/>
    </xf>
    <xf numFmtId="170" fontId="8" fillId="11" borderId="23" xfId="2" applyNumberFormat="1" applyFont="1" applyFill="1" applyBorder="1" applyAlignment="1">
      <alignment horizontal="center"/>
    </xf>
    <xf numFmtId="0" fontId="7" fillId="0" borderId="1" xfId="2" applyFont="1" applyBorder="1" applyAlignment="1">
      <alignment horizontal="center"/>
    </xf>
    <xf numFmtId="0" fontId="7" fillId="0" borderId="8" xfId="2" applyFont="1" applyBorder="1" applyAlignment="1">
      <alignment horizontal="left"/>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8" xfId="2" applyFont="1" applyBorder="1" applyAlignment="1">
      <alignment horizontal="left"/>
    </xf>
    <xf numFmtId="0" fontId="7" fillId="0" borderId="24" xfId="2" applyFont="1" applyBorder="1" applyAlignment="1">
      <alignment horizontal="left"/>
    </xf>
    <xf numFmtId="0" fontId="7" fillId="0" borderId="23" xfId="2" applyFont="1" applyBorder="1" applyAlignment="1">
      <alignment horizontal="left"/>
    </xf>
    <xf numFmtId="0" fontId="8" fillId="0" borderId="1"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1" xfId="2" applyFont="1" applyFill="1" applyBorder="1" applyAlignment="1">
      <alignment horizontal="left" vertical="center" wrapText="1"/>
    </xf>
    <xf numFmtId="0" fontId="8" fillId="0" borderId="3" xfId="2" applyFont="1" applyFill="1" applyBorder="1" applyAlignment="1">
      <alignment horizontal="left" vertical="center" wrapText="1"/>
    </xf>
    <xf numFmtId="169" fontId="7" fillId="0" borderId="0" xfId="2" applyNumberFormat="1" applyFont="1" applyBorder="1" applyAlignment="1">
      <alignment horizontal="center"/>
    </xf>
    <xf numFmtId="0" fontId="0" fillId="5" borderId="1" xfId="0" applyFill="1" applyBorder="1" applyAlignment="1">
      <alignment horizontal="center" vertical="center" wrapText="1"/>
    </xf>
    <xf numFmtId="0" fontId="0" fillId="5" borderId="3" xfId="0" applyFill="1" applyBorder="1" applyAlignment="1">
      <alignment horizontal="center" vertical="center" wrapText="1"/>
    </xf>
    <xf numFmtId="164" fontId="0" fillId="11" borderId="1" xfId="1" applyFont="1" applyFill="1" applyBorder="1" applyAlignment="1">
      <alignment horizontal="center"/>
    </xf>
    <xf numFmtId="164" fontId="0" fillId="11" borderId="2" xfId="1" applyFont="1" applyFill="1" applyBorder="1" applyAlignment="1">
      <alignment horizontal="center"/>
    </xf>
    <xf numFmtId="164" fontId="0" fillId="11" borderId="3" xfId="1" applyFont="1" applyFill="1" applyBorder="1" applyAlignment="1">
      <alignment horizontal="center"/>
    </xf>
    <xf numFmtId="0" fontId="15" fillId="7" borderId="8"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3" xfId="0" applyFont="1" applyBorder="1" applyAlignment="1">
      <alignment horizontal="left" vertical="center" wrapText="1"/>
    </xf>
    <xf numFmtId="0" fontId="13" fillId="0" borderId="1" xfId="0" applyFont="1" applyBorder="1" applyAlignment="1">
      <alignment horizont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9" xfId="0" applyFont="1" applyBorder="1" applyAlignment="1">
      <alignment horizontal="center"/>
    </xf>
    <xf numFmtId="0" fontId="13" fillId="0" borderId="10" xfId="0" applyFont="1" applyBorder="1" applyAlignment="1">
      <alignment horizontal="center"/>
    </xf>
    <xf numFmtId="0" fontId="13" fillId="0" borderId="27" xfId="0" applyFont="1" applyBorder="1" applyAlignment="1">
      <alignment horizontal="center"/>
    </xf>
    <xf numFmtId="0" fontId="13" fillId="0" borderId="11" xfId="0" applyFont="1" applyBorder="1" applyAlignment="1">
      <alignment horizontal="center" vertical="center" wrapText="1"/>
    </xf>
    <xf numFmtId="0" fontId="13" fillId="0" borderId="28" xfId="0" applyFont="1" applyBorder="1" applyAlignment="1">
      <alignment horizontal="center" vertical="center" wrapText="1"/>
    </xf>
    <xf numFmtId="0" fontId="15" fillId="2" borderId="8"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2" borderId="24"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13" borderId="18" xfId="0" applyFont="1" applyFill="1" applyBorder="1" applyAlignment="1">
      <alignment horizontal="left" vertical="center" wrapText="1"/>
    </xf>
    <xf numFmtId="0" fontId="15" fillId="13" borderId="24" xfId="0" applyFont="1" applyFill="1" applyBorder="1" applyAlignment="1">
      <alignment horizontal="left" vertical="center" wrapText="1"/>
    </xf>
    <xf numFmtId="0" fontId="15" fillId="13" borderId="23" xfId="0" applyFont="1" applyFill="1" applyBorder="1" applyAlignment="1">
      <alignment horizontal="left" vertical="center" wrapText="1"/>
    </xf>
    <xf numFmtId="0" fontId="33" fillId="5" borderId="18" xfId="0" applyFont="1" applyFill="1" applyBorder="1" applyAlignment="1">
      <alignment horizontal="left" vertical="center" wrapText="1"/>
    </xf>
    <xf numFmtId="0" fontId="33" fillId="5" borderId="24" xfId="0" applyFont="1" applyFill="1" applyBorder="1" applyAlignment="1">
      <alignment horizontal="left" vertical="center" wrapText="1"/>
    </xf>
    <xf numFmtId="0" fontId="33" fillId="5" borderId="23" xfId="0" applyFont="1" applyFill="1" applyBorder="1" applyAlignment="1">
      <alignment horizontal="left" vertical="center" wrapText="1"/>
    </xf>
    <xf numFmtId="0" fontId="15" fillId="3" borderId="18" xfId="0" applyFont="1" applyFill="1" applyBorder="1" applyAlignment="1">
      <alignment horizontal="left" vertical="center" wrapText="1"/>
    </xf>
    <xf numFmtId="0" fontId="15" fillId="3" borderId="24" xfId="0" applyFont="1" applyFill="1" applyBorder="1" applyAlignment="1">
      <alignment horizontal="left" vertical="center" wrapText="1"/>
    </xf>
    <xf numFmtId="0" fontId="15" fillId="3" borderId="23" xfId="0" applyFont="1" applyFill="1" applyBorder="1" applyAlignment="1">
      <alignment horizontal="left" vertical="center" wrapText="1"/>
    </xf>
  </cellXfs>
  <cellStyles count="3">
    <cellStyle name="Komma" xfId="1" builtinId="3"/>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110" zoomScaleNormal="110" workbookViewId="0">
      <selection activeCell="I21" sqref="I21"/>
    </sheetView>
  </sheetViews>
  <sheetFormatPr baseColWidth="10" defaultRowHeight="14.6" x14ac:dyDescent="0.4"/>
  <sheetData>
    <row r="1" spans="1:7" ht="28.3" x14ac:dyDescent="0.75">
      <c r="A1" s="214" t="s">
        <v>394</v>
      </c>
    </row>
    <row r="3" spans="1:7" ht="18.45" x14ac:dyDescent="0.5">
      <c r="A3" s="305" t="s">
        <v>395</v>
      </c>
    </row>
    <row r="5" spans="1:7" ht="61.5" customHeight="1" x14ac:dyDescent="0.4">
      <c r="A5" s="328" t="s">
        <v>393</v>
      </c>
      <c r="B5" s="329"/>
      <c r="C5" s="329"/>
      <c r="D5" s="329"/>
      <c r="E5" s="329"/>
      <c r="F5" s="329"/>
      <c r="G5" s="330"/>
    </row>
    <row r="7" spans="1:7" ht="18.45" x14ac:dyDescent="0.5">
      <c r="A7" s="305" t="s">
        <v>396</v>
      </c>
    </row>
    <row r="9" spans="1:7" s="197" customFormat="1" ht="15.9" x14ac:dyDescent="0.45">
      <c r="A9" s="331" t="s">
        <v>397</v>
      </c>
      <c r="B9" s="332"/>
      <c r="C9" s="332"/>
      <c r="D9" s="332"/>
      <c r="E9" s="332"/>
      <c r="F9" s="332"/>
      <c r="G9" s="333"/>
    </row>
    <row r="10" spans="1:7" s="197" customFormat="1" ht="15.9" x14ac:dyDescent="0.45"/>
    <row r="11" spans="1:7" s="197" customFormat="1" ht="36" customHeight="1" x14ac:dyDescent="0.45">
      <c r="A11" s="325" t="s">
        <v>398</v>
      </c>
      <c r="B11" s="326"/>
      <c r="C11" s="326"/>
      <c r="D11" s="326"/>
      <c r="E11" s="326"/>
      <c r="F11" s="326"/>
      <c r="G11" s="327"/>
    </row>
    <row r="12" spans="1:7" s="197" customFormat="1" ht="15.9" x14ac:dyDescent="0.45"/>
    <row r="13" spans="1:7" s="197" customFormat="1" ht="15.75" customHeight="1" x14ac:dyDescent="0.45">
      <c r="A13" s="325" t="s">
        <v>399</v>
      </c>
      <c r="B13" s="326"/>
      <c r="C13" s="326"/>
      <c r="D13" s="326"/>
      <c r="E13" s="326"/>
      <c r="F13" s="326"/>
      <c r="G13" s="327"/>
    </row>
    <row r="14" spans="1:7" s="197" customFormat="1" ht="15.9" x14ac:dyDescent="0.45"/>
    <row r="15" spans="1:7" s="197" customFormat="1" ht="15.75" customHeight="1" x14ac:dyDescent="0.45">
      <c r="A15" s="325" t="s">
        <v>400</v>
      </c>
      <c r="B15" s="326"/>
      <c r="C15" s="326"/>
      <c r="D15" s="326"/>
      <c r="E15" s="326"/>
      <c r="F15" s="326"/>
      <c r="G15" s="327"/>
    </row>
    <row r="16" spans="1:7" s="197" customFormat="1" ht="15.9" x14ac:dyDescent="0.45"/>
    <row r="17" spans="1:7" s="197" customFormat="1" ht="33.75" customHeight="1" x14ac:dyDescent="0.45">
      <c r="A17" s="325" t="s">
        <v>401</v>
      </c>
      <c r="B17" s="326"/>
      <c r="C17" s="326"/>
      <c r="D17" s="326"/>
      <c r="E17" s="326"/>
      <c r="F17" s="326"/>
      <c r="G17" s="327"/>
    </row>
    <row r="18" spans="1:7" s="197" customFormat="1" ht="15.9" x14ac:dyDescent="0.45"/>
    <row r="19" spans="1:7" s="197" customFormat="1" ht="33" customHeight="1" x14ac:dyDescent="0.45">
      <c r="A19" s="325" t="s">
        <v>402</v>
      </c>
      <c r="B19" s="326"/>
      <c r="C19" s="326"/>
      <c r="D19" s="326"/>
      <c r="E19" s="326"/>
      <c r="F19" s="326"/>
      <c r="G19" s="327"/>
    </row>
    <row r="20" spans="1:7" s="197" customFormat="1" ht="15.9" x14ac:dyDescent="0.45"/>
    <row r="21" spans="1:7" s="197" customFormat="1" ht="32.25" customHeight="1" x14ac:dyDescent="0.45">
      <c r="A21" s="325" t="s">
        <v>403</v>
      </c>
      <c r="B21" s="326"/>
      <c r="C21" s="326"/>
      <c r="D21" s="326"/>
      <c r="E21" s="326"/>
      <c r="F21" s="326"/>
      <c r="G21" s="327"/>
    </row>
    <row r="22" spans="1:7" s="197" customFormat="1" ht="15.9" x14ac:dyDescent="0.45"/>
    <row r="23" spans="1:7" s="197" customFormat="1" ht="30.75" customHeight="1" x14ac:dyDescent="0.45">
      <c r="A23" s="325" t="s">
        <v>404</v>
      </c>
      <c r="B23" s="326"/>
      <c r="C23" s="326"/>
      <c r="D23" s="326"/>
      <c r="E23" s="326"/>
      <c r="F23" s="326"/>
      <c r="G23" s="327"/>
    </row>
    <row r="24" spans="1:7" s="197" customFormat="1" ht="15.9" x14ac:dyDescent="0.45"/>
    <row r="25" spans="1:7" s="197" customFormat="1" ht="31.5" customHeight="1" x14ac:dyDescent="0.45">
      <c r="A25" s="325" t="s">
        <v>405</v>
      </c>
      <c r="B25" s="326"/>
      <c r="C25" s="326"/>
      <c r="D25" s="326"/>
      <c r="E25" s="326"/>
      <c r="F25" s="326"/>
      <c r="G25" s="327"/>
    </row>
    <row r="26" spans="1:7" s="197" customFormat="1" ht="15.9" x14ac:dyDescent="0.45"/>
    <row r="27" spans="1:7" s="197" customFormat="1" ht="15.9" x14ac:dyDescent="0.45">
      <c r="A27" s="325" t="s">
        <v>406</v>
      </c>
      <c r="B27" s="326"/>
      <c r="C27" s="326"/>
      <c r="D27" s="326"/>
      <c r="E27" s="326"/>
      <c r="F27" s="326"/>
      <c r="G27" s="327"/>
    </row>
    <row r="28" spans="1:7" s="197" customFormat="1" ht="15.9" x14ac:dyDescent="0.45"/>
    <row r="29" spans="1:7" s="197" customFormat="1" ht="15.9" x14ac:dyDescent="0.45">
      <c r="A29" s="325" t="s">
        <v>407</v>
      </c>
      <c r="B29" s="326"/>
      <c r="C29" s="326"/>
      <c r="D29" s="326"/>
      <c r="E29" s="326"/>
      <c r="F29" s="326"/>
      <c r="G29" s="327"/>
    </row>
    <row r="30" spans="1:7" s="197" customFormat="1" ht="15.9" x14ac:dyDescent="0.45"/>
    <row r="31" spans="1:7" ht="15.9" x14ac:dyDescent="0.45">
      <c r="A31" s="325" t="s">
        <v>6</v>
      </c>
      <c r="B31" s="326"/>
      <c r="C31" s="326"/>
      <c r="D31" s="326"/>
      <c r="E31" s="326"/>
      <c r="F31" s="326"/>
      <c r="G31" s="327"/>
    </row>
  </sheetData>
  <mergeCells count="13">
    <mergeCell ref="A31:G31"/>
    <mergeCell ref="A19:G19"/>
    <mergeCell ref="A21:G21"/>
    <mergeCell ref="A23:G23"/>
    <mergeCell ref="A27:G27"/>
    <mergeCell ref="A29:G29"/>
    <mergeCell ref="A25:G25"/>
    <mergeCell ref="A17:G17"/>
    <mergeCell ref="A5:G5"/>
    <mergeCell ref="A9:G9"/>
    <mergeCell ref="A11:G11"/>
    <mergeCell ref="A13:G13"/>
    <mergeCell ref="A15:G15"/>
  </mergeCells>
  <phoneticPr fontId="0" type="noConversion"/>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5"/>
  <sheetViews>
    <sheetView topLeftCell="A16" zoomScale="90" zoomScaleNormal="90" workbookViewId="0"/>
  </sheetViews>
  <sheetFormatPr baseColWidth="10" defaultColWidth="11.3828125" defaultRowHeight="14.6" x14ac:dyDescent="0.4"/>
  <cols>
    <col min="1" max="1" width="20.15234375" style="122" customWidth="1"/>
    <col min="2" max="2" width="9.53515625" style="122" customWidth="1"/>
    <col min="3" max="5" width="9.69140625" style="122" customWidth="1"/>
    <col min="6" max="6" width="11.53515625" style="122" customWidth="1"/>
    <col min="7" max="8" width="9.69140625" style="122" customWidth="1"/>
    <col min="9" max="9" width="8.3828125" style="122" customWidth="1"/>
    <col min="10" max="10" width="9.53515625" style="122" customWidth="1"/>
    <col min="11" max="13" width="8.3828125" style="122" customWidth="1"/>
    <col min="14" max="14" width="9" style="122" customWidth="1"/>
    <col min="15" max="17" width="8.3828125" style="122" customWidth="1"/>
    <col min="18" max="18" width="9.3046875" style="122" customWidth="1"/>
    <col min="19" max="20" width="8.3828125" style="122" customWidth="1"/>
    <col min="21" max="16384" width="11.3828125" style="122"/>
  </cols>
  <sheetData>
    <row r="1" spans="1:20" ht="30.9" x14ac:dyDescent="0.8">
      <c r="A1" s="320" t="s">
        <v>316</v>
      </c>
    </row>
    <row r="3" spans="1:20" ht="66" customHeight="1" x14ac:dyDescent="0.4">
      <c r="A3" s="344" t="s">
        <v>348</v>
      </c>
      <c r="B3" s="345"/>
      <c r="C3" s="345"/>
      <c r="D3" s="345"/>
      <c r="E3" s="345"/>
      <c r="F3" s="345"/>
      <c r="G3" s="345"/>
      <c r="H3" s="345"/>
      <c r="I3" s="345"/>
      <c r="J3" s="345"/>
      <c r="K3" s="345"/>
      <c r="L3" s="345"/>
      <c r="M3" s="345"/>
      <c r="N3" s="345"/>
      <c r="O3" s="345"/>
      <c r="P3" s="345"/>
      <c r="Q3" s="345"/>
      <c r="R3" s="345"/>
      <c r="S3" s="345"/>
      <c r="T3" s="346"/>
    </row>
    <row r="5" spans="1:20" ht="68.25" customHeight="1" x14ac:dyDescent="0.4">
      <c r="A5" s="344" t="s">
        <v>349</v>
      </c>
      <c r="B5" s="345"/>
      <c r="C5" s="345"/>
      <c r="D5" s="345"/>
      <c r="E5" s="345"/>
      <c r="F5" s="345"/>
      <c r="G5" s="345"/>
      <c r="H5" s="345"/>
      <c r="I5" s="345"/>
      <c r="J5" s="345"/>
      <c r="K5" s="345"/>
      <c r="L5" s="345"/>
      <c r="M5" s="345"/>
      <c r="N5" s="345"/>
      <c r="O5" s="345"/>
      <c r="P5" s="345"/>
      <c r="Q5" s="345"/>
      <c r="R5" s="345"/>
      <c r="S5" s="345"/>
      <c r="T5" s="346"/>
    </row>
    <row r="7" spans="1:20" s="120" customFormat="1" ht="18.45" x14ac:dyDescent="0.5">
      <c r="A7" s="268" t="s">
        <v>317</v>
      </c>
    </row>
    <row r="8" spans="1:20" s="120" customFormat="1" x14ac:dyDescent="0.4">
      <c r="A8" s="437" t="s">
        <v>33</v>
      </c>
      <c r="B8" s="435" t="s">
        <v>294</v>
      </c>
      <c r="C8" s="435" t="s">
        <v>122</v>
      </c>
      <c r="D8" s="435" t="s">
        <v>123</v>
      </c>
      <c r="E8" s="435" t="s">
        <v>340</v>
      </c>
      <c r="F8" s="430" t="s">
        <v>339</v>
      </c>
      <c r="G8" s="435" t="s">
        <v>145</v>
      </c>
      <c r="H8" s="435" t="s">
        <v>146</v>
      </c>
      <c r="I8" s="428" t="s">
        <v>342</v>
      </c>
      <c r="J8" s="428"/>
      <c r="K8" s="428"/>
      <c r="L8" s="428"/>
      <c r="M8" s="428" t="s">
        <v>343</v>
      </c>
      <c r="N8" s="428"/>
      <c r="O8" s="428"/>
      <c r="P8" s="428"/>
      <c r="Q8" s="428" t="s">
        <v>344</v>
      </c>
      <c r="R8" s="428"/>
      <c r="S8" s="428"/>
      <c r="T8" s="428"/>
    </row>
    <row r="9" spans="1:20" ht="25.75" x14ac:dyDescent="0.4">
      <c r="A9" s="438"/>
      <c r="B9" s="436"/>
      <c r="C9" s="436"/>
      <c r="D9" s="436"/>
      <c r="E9" s="436"/>
      <c r="F9" s="431"/>
      <c r="G9" s="436"/>
      <c r="H9" s="436"/>
      <c r="I9" s="105" t="s">
        <v>87</v>
      </c>
      <c r="J9" s="105" t="s">
        <v>171</v>
      </c>
      <c r="K9" s="105" t="s">
        <v>74</v>
      </c>
      <c r="L9" s="105" t="s">
        <v>341</v>
      </c>
      <c r="M9" s="105" t="str">
        <f>+I9</f>
        <v>Getreide-bau</v>
      </c>
      <c r="N9" s="105" t="str">
        <f>+J9</f>
        <v>Milchkuh-haltung</v>
      </c>
      <c r="O9" s="105" t="str">
        <f>+K9</f>
        <v>Rinder-mast</v>
      </c>
      <c r="P9" s="105" t="str">
        <f>+L9</f>
        <v>UaB</v>
      </c>
      <c r="Q9" s="105" t="str">
        <f>+I9</f>
        <v>Getreide-bau</v>
      </c>
      <c r="R9" s="105" t="str">
        <f>+J9</f>
        <v>Milchkuh-haltung</v>
      </c>
      <c r="S9" s="105" t="str">
        <f>+K9</f>
        <v>Rinder-mast</v>
      </c>
      <c r="T9" s="105" t="str">
        <f>+L9</f>
        <v>UaB</v>
      </c>
    </row>
    <row r="10" spans="1:20" x14ac:dyDescent="0.4">
      <c r="A10" s="269" t="s">
        <v>319</v>
      </c>
      <c r="B10" s="270" t="s">
        <v>320</v>
      </c>
      <c r="C10" s="271">
        <v>155000</v>
      </c>
      <c r="D10" s="269">
        <v>25</v>
      </c>
      <c r="E10" s="125">
        <f>C10/D10</f>
        <v>6200</v>
      </c>
      <c r="F10" s="125">
        <v>62000</v>
      </c>
      <c r="G10" s="125">
        <f>+C10-F10</f>
        <v>93000</v>
      </c>
      <c r="H10" s="144">
        <f>+G10-E10</f>
        <v>86800</v>
      </c>
      <c r="I10" s="146"/>
      <c r="J10" s="146">
        <f>+TIERE!K7/100</f>
        <v>0.75942028985507259</v>
      </c>
      <c r="K10" s="146">
        <f>+TIERE!K12/100</f>
        <v>0.24057971014492754</v>
      </c>
      <c r="L10" s="146"/>
      <c r="M10" s="151">
        <f>+$E$10*I10</f>
        <v>0</v>
      </c>
      <c r="N10" s="151">
        <f>+$E$10*J10</f>
        <v>4708.4057971014499</v>
      </c>
      <c r="O10" s="151">
        <f>+$E$10*K10</f>
        <v>1491.5942028985507</v>
      </c>
      <c r="P10" s="151">
        <f>+$E$10*L10</f>
        <v>0</v>
      </c>
      <c r="Q10" s="151">
        <f>+(G10+H10)/2*I10</f>
        <v>0</v>
      </c>
      <c r="R10" s="151">
        <f>+(G10+H10)/2*J10</f>
        <v>68271.884057971023</v>
      </c>
      <c r="S10" s="151">
        <f>+(G10+H10)/2*K10</f>
        <v>21628.115942028988</v>
      </c>
      <c r="T10" s="151">
        <f>+(G10+H10)/2*L10</f>
        <v>0</v>
      </c>
    </row>
    <row r="11" spans="1:20" x14ac:dyDescent="0.4">
      <c r="A11" s="272" t="s">
        <v>321</v>
      </c>
      <c r="B11" s="273" t="s">
        <v>322</v>
      </c>
      <c r="C11" s="274">
        <v>25000</v>
      </c>
      <c r="D11" s="272">
        <v>20</v>
      </c>
      <c r="E11" s="128">
        <f>C11/D11</f>
        <v>1250</v>
      </c>
      <c r="F11" s="128">
        <v>7500</v>
      </c>
      <c r="G11" s="128">
        <f>+C11-F11</f>
        <v>17500</v>
      </c>
      <c r="H11" s="145">
        <f>+G11-E11</f>
        <v>16250</v>
      </c>
      <c r="I11" s="146"/>
      <c r="J11" s="146"/>
      <c r="K11" s="146">
        <v>1</v>
      </c>
      <c r="L11" s="146"/>
      <c r="M11" s="149">
        <f>+$E$11*I11</f>
        <v>0</v>
      </c>
      <c r="N11" s="149">
        <f>+$E$11*J11</f>
        <v>0</v>
      </c>
      <c r="O11" s="149">
        <f>+$E$11*K11</f>
        <v>1250</v>
      </c>
      <c r="P11" s="149">
        <f>+$E$11*L11</f>
        <v>0</v>
      </c>
      <c r="Q11" s="149">
        <f>+(G11+H11)/2*I11</f>
        <v>0</v>
      </c>
      <c r="R11" s="149">
        <f>+(G11+H11)/2*J11</f>
        <v>0</v>
      </c>
      <c r="S11" s="149">
        <f>+(G11+H11)/2*K11</f>
        <v>16875</v>
      </c>
      <c r="T11" s="149">
        <f>+(G11+H11)/2*L11</f>
        <v>0</v>
      </c>
    </row>
    <row r="12" spans="1:20" x14ac:dyDescent="0.4">
      <c r="A12" s="272" t="s">
        <v>128</v>
      </c>
      <c r="B12" s="273" t="s">
        <v>323</v>
      </c>
      <c r="C12" s="274">
        <v>16000</v>
      </c>
      <c r="D12" s="272">
        <v>20</v>
      </c>
      <c r="E12" s="128">
        <f>C12/D12</f>
        <v>800</v>
      </c>
      <c r="F12" s="128">
        <v>12800</v>
      </c>
      <c r="G12" s="128">
        <v>3800</v>
      </c>
      <c r="H12" s="145">
        <f>+G12-E12</f>
        <v>3000</v>
      </c>
      <c r="I12" s="146"/>
      <c r="J12" s="146">
        <f>+ILV!F21/ILV!E29</f>
        <v>0.8180003071724774</v>
      </c>
      <c r="K12" s="146">
        <f>+ILV!F26/ILV!E29</f>
        <v>0.18199969282752262</v>
      </c>
      <c r="L12" s="146"/>
      <c r="M12" s="149">
        <f>+$E$12*I12</f>
        <v>0</v>
      </c>
      <c r="N12" s="149">
        <f>+$E$12*J12</f>
        <v>654.40024573798189</v>
      </c>
      <c r="O12" s="149">
        <f>+$E$12*K12</f>
        <v>145.59975426201811</v>
      </c>
      <c r="P12" s="149">
        <f>+$E$12*L12</f>
        <v>0</v>
      </c>
      <c r="Q12" s="149">
        <f>+(G12+H12)/2*I12</f>
        <v>0</v>
      </c>
      <c r="R12" s="149">
        <f>+(G12+H12)/2*J12</f>
        <v>2781.2010443864233</v>
      </c>
      <c r="S12" s="149">
        <f>+(G12+H12)/2*K12</f>
        <v>618.79895561357694</v>
      </c>
      <c r="T12" s="149">
        <f>+(G12+H12)/2*L12</f>
        <v>0</v>
      </c>
    </row>
    <row r="13" spans="1:20" x14ac:dyDescent="0.4">
      <c r="A13" s="272" t="s">
        <v>324</v>
      </c>
      <c r="B13" s="273" t="s">
        <v>325</v>
      </c>
      <c r="C13" s="274">
        <v>36500</v>
      </c>
      <c r="D13" s="272">
        <v>15</v>
      </c>
      <c r="E13" s="128">
        <f>C13/D13</f>
        <v>2433.3333333333335</v>
      </c>
      <c r="F13" s="128">
        <v>17033.333333333336</v>
      </c>
      <c r="G13" s="128">
        <f>+C13-F13</f>
        <v>19466.666666666664</v>
      </c>
      <c r="H13" s="145">
        <f>+G13-E13</f>
        <v>17033.333333333332</v>
      </c>
      <c r="I13" s="146"/>
      <c r="J13" s="146"/>
      <c r="K13" s="146"/>
      <c r="L13" s="146">
        <v>1</v>
      </c>
      <c r="M13" s="149">
        <f>+$E$13*I13</f>
        <v>0</v>
      </c>
      <c r="N13" s="149">
        <f>+$E$13*J13</f>
        <v>0</v>
      </c>
      <c r="O13" s="149">
        <f>+$E$13*K13</f>
        <v>0</v>
      </c>
      <c r="P13" s="149">
        <f>+$E$13*L13</f>
        <v>2433.3333333333335</v>
      </c>
      <c r="Q13" s="149">
        <f>+(G13+H13)/2*I13</f>
        <v>0</v>
      </c>
      <c r="R13" s="149">
        <f>+(G13+H13)/2*J13</f>
        <v>0</v>
      </c>
      <c r="S13" s="149">
        <f>+(G13+H13)/2*K13</f>
        <v>0</v>
      </c>
      <c r="T13" s="149">
        <f>+(G13+H13)/2*L13</f>
        <v>18250</v>
      </c>
    </row>
    <row r="14" spans="1:20" x14ac:dyDescent="0.4">
      <c r="A14" s="275" t="s">
        <v>129</v>
      </c>
      <c r="B14" s="276" t="s">
        <v>326</v>
      </c>
      <c r="C14" s="277">
        <v>18500</v>
      </c>
      <c r="D14" s="275">
        <v>30</v>
      </c>
      <c r="E14" s="128">
        <f>C14/D14</f>
        <v>616.66666666666663</v>
      </c>
      <c r="F14" s="128">
        <v>17266.666666666664</v>
      </c>
      <c r="G14" s="128">
        <f>+C14-F14</f>
        <v>1233.3333333333358</v>
      </c>
      <c r="H14" s="145">
        <f>+G14-E14</f>
        <v>616.66666666666913</v>
      </c>
      <c r="I14" s="147">
        <f>+DIESEL!F7/100</f>
        <v>0.16176470588235298</v>
      </c>
      <c r="J14" s="147">
        <f>+DIESEL!F10/100</f>
        <v>0.70588235294117652</v>
      </c>
      <c r="K14" s="147">
        <f>+DIESEL!F9/100</f>
        <v>0.13235294117647059</v>
      </c>
      <c r="L14" s="147"/>
      <c r="M14" s="150">
        <f>+$E$14*I14</f>
        <v>99.754901960784323</v>
      </c>
      <c r="N14" s="150">
        <f>+$E$14*J14</f>
        <v>435.29411764705884</v>
      </c>
      <c r="O14" s="150">
        <f>+$E$14*K14</f>
        <v>81.617647058823522</v>
      </c>
      <c r="P14" s="150">
        <f>+$E$14*L14</f>
        <v>0</v>
      </c>
      <c r="Q14" s="150">
        <f>+(G14+H14)/2*I14</f>
        <v>149.63235294117692</v>
      </c>
      <c r="R14" s="150">
        <f>+(G14+H14)/2*J14</f>
        <v>652.94117647058999</v>
      </c>
      <c r="S14" s="150">
        <f>+(G14+H14)/2*K14</f>
        <v>122.42647058823563</v>
      </c>
      <c r="T14" s="150">
        <f>+(G14+H14)/2*L14</f>
        <v>0</v>
      </c>
    </row>
    <row r="15" spans="1:20" x14ac:dyDescent="0.4">
      <c r="A15" s="132" t="s">
        <v>147</v>
      </c>
      <c r="B15" s="133"/>
      <c r="C15" s="134"/>
      <c r="D15" s="133"/>
      <c r="E15" s="135">
        <f>SUM(E10:E14)</f>
        <v>11300</v>
      </c>
      <c r="F15" s="133"/>
      <c r="G15" s="133"/>
      <c r="H15" s="133"/>
      <c r="I15" s="439"/>
      <c r="J15" s="439"/>
      <c r="K15" s="439"/>
      <c r="L15" s="439"/>
      <c r="M15" s="278">
        <f>SUM(M10:M14)</f>
        <v>99.754901960784323</v>
      </c>
      <c r="N15" s="278">
        <f>SUM(N10:N14)</f>
        <v>5798.1001604864905</v>
      </c>
      <c r="O15" s="278">
        <f>SUM(O10:O14)</f>
        <v>2968.8116042193924</v>
      </c>
      <c r="P15" s="278">
        <f>SUM(P10:P14)</f>
        <v>2433.3333333333335</v>
      </c>
      <c r="Q15" s="425"/>
      <c r="R15" s="426"/>
      <c r="S15" s="426"/>
      <c r="T15" s="427"/>
    </row>
    <row r="16" spans="1:20" x14ac:dyDescent="0.4">
      <c r="A16" s="136" t="s">
        <v>131</v>
      </c>
      <c r="B16" s="137"/>
      <c r="C16" s="137"/>
      <c r="D16" s="137"/>
      <c r="E16" s="137"/>
      <c r="F16" s="138"/>
      <c r="G16" s="135">
        <f>SUM(G10:G14)</f>
        <v>135000</v>
      </c>
      <c r="H16" s="135">
        <f>SUM(H10:H14)</f>
        <v>123700</v>
      </c>
      <c r="I16" s="142"/>
      <c r="N16" s="195"/>
      <c r="O16" s="195"/>
      <c r="P16" s="195"/>
      <c r="Q16" s="153">
        <f>SUM(Q10:Q14)</f>
        <v>149.63235294117692</v>
      </c>
      <c r="R16" s="153">
        <f>SUM(R10:R14)</f>
        <v>71706.026278828038</v>
      </c>
      <c r="S16" s="153">
        <f>SUM(S10:S14)</f>
        <v>39244.341368230809</v>
      </c>
      <c r="T16" s="153">
        <f>SUM(T10:T14)</f>
        <v>18250</v>
      </c>
    </row>
    <row r="17" spans="1:20" x14ac:dyDescent="0.4">
      <c r="A17" s="429" t="s">
        <v>363</v>
      </c>
      <c r="B17" s="429"/>
      <c r="C17" s="429"/>
      <c r="D17" s="429"/>
      <c r="E17" s="429"/>
      <c r="F17" s="429"/>
      <c r="G17" s="284">
        <f>+(G16+H16)/2</f>
        <v>129350</v>
      </c>
      <c r="Q17" s="280">
        <f>+Q16/(($G$16+$H$16)/2)</f>
        <v>1.1568021100980047E-3</v>
      </c>
      <c r="R17" s="280">
        <f>+R16/(($G$16+$H$16)/2)</f>
        <v>0.554356600532107</v>
      </c>
      <c r="S17" s="280">
        <f>+S16/(($G$16+$H$16)/2)</f>
        <v>0.30339653164461389</v>
      </c>
      <c r="T17" s="280">
        <f>+T16/(($G$16+$H$16)/2)</f>
        <v>0.14109006571318128</v>
      </c>
    </row>
    <row r="18" spans="1:20" x14ac:dyDescent="0.4">
      <c r="A18" s="432" t="s">
        <v>364</v>
      </c>
      <c r="B18" s="433"/>
      <c r="C18" s="433"/>
      <c r="D18" s="433"/>
      <c r="E18" s="433"/>
      <c r="F18" s="434"/>
      <c r="G18" s="284">
        <f>+G17*0.035</f>
        <v>4527.25</v>
      </c>
    </row>
    <row r="20" spans="1:20" ht="89.25" customHeight="1" x14ac:dyDescent="0.4">
      <c r="A20" s="344" t="s">
        <v>350</v>
      </c>
      <c r="B20" s="345"/>
      <c r="C20" s="345"/>
      <c r="D20" s="345"/>
      <c r="E20" s="345"/>
      <c r="F20" s="345"/>
      <c r="G20" s="345"/>
      <c r="H20" s="345"/>
      <c r="I20" s="345"/>
      <c r="J20" s="345"/>
      <c r="K20" s="345"/>
      <c r="L20" s="345"/>
      <c r="M20" s="345"/>
      <c r="N20" s="345"/>
      <c r="O20" s="345"/>
      <c r="P20" s="345"/>
      <c r="Q20" s="345"/>
      <c r="R20" s="345"/>
      <c r="S20" s="345"/>
      <c r="T20" s="346"/>
    </row>
    <row r="22" spans="1:20" ht="18.45" x14ac:dyDescent="0.5">
      <c r="A22" s="268" t="s">
        <v>318</v>
      </c>
    </row>
    <row r="23" spans="1:20" x14ac:dyDescent="0.4">
      <c r="A23" s="437" t="s">
        <v>33</v>
      </c>
      <c r="B23" s="435" t="s">
        <v>294</v>
      </c>
      <c r="C23" s="435" t="s">
        <v>122</v>
      </c>
      <c r="D23" s="435" t="s">
        <v>123</v>
      </c>
      <c r="E23" s="435" t="s">
        <v>340</v>
      </c>
      <c r="F23" s="430" t="s">
        <v>339</v>
      </c>
      <c r="G23" s="435" t="s">
        <v>145</v>
      </c>
      <c r="H23" s="435" t="s">
        <v>146</v>
      </c>
      <c r="I23" s="428" t="s">
        <v>342</v>
      </c>
      <c r="J23" s="428"/>
      <c r="K23" s="428"/>
      <c r="L23" s="428"/>
      <c r="M23" s="428" t="s">
        <v>343</v>
      </c>
      <c r="N23" s="428"/>
      <c r="O23" s="428"/>
      <c r="P23" s="428"/>
      <c r="Q23" s="428" t="s">
        <v>344</v>
      </c>
      <c r="R23" s="428"/>
      <c r="S23" s="428"/>
      <c r="T23" s="428"/>
    </row>
    <row r="24" spans="1:20" ht="25.75" x14ac:dyDescent="0.4">
      <c r="A24" s="438"/>
      <c r="B24" s="436"/>
      <c r="C24" s="436"/>
      <c r="D24" s="436"/>
      <c r="E24" s="436"/>
      <c r="F24" s="431"/>
      <c r="G24" s="436"/>
      <c r="H24" s="436"/>
      <c r="I24" s="105" t="s">
        <v>87</v>
      </c>
      <c r="J24" s="105" t="s">
        <v>171</v>
      </c>
      <c r="K24" s="105" t="s">
        <v>74</v>
      </c>
      <c r="L24" s="105" t="s">
        <v>341</v>
      </c>
      <c r="M24" s="105" t="str">
        <f>+I24</f>
        <v>Getreide-bau</v>
      </c>
      <c r="N24" s="105" t="str">
        <f>+J24</f>
        <v>Milchkuh-haltung</v>
      </c>
      <c r="O24" s="105" t="str">
        <f>+K24</f>
        <v>Rinder-mast</v>
      </c>
      <c r="P24" s="105" t="str">
        <f>+L24</f>
        <v>UaB</v>
      </c>
      <c r="Q24" s="105" t="str">
        <f>+I24</f>
        <v>Getreide-bau</v>
      </c>
      <c r="R24" s="105" t="str">
        <f>+J24</f>
        <v>Milchkuh-haltung</v>
      </c>
      <c r="S24" s="105" t="str">
        <f>+K24</f>
        <v>Rinder-mast</v>
      </c>
      <c r="T24" s="105" t="str">
        <f>+L24</f>
        <v>UaB</v>
      </c>
    </row>
    <row r="25" spans="1:20" x14ac:dyDescent="0.4">
      <c r="A25" s="272" t="s">
        <v>327</v>
      </c>
      <c r="B25" s="273" t="s">
        <v>328</v>
      </c>
      <c r="C25" s="274">
        <v>66006</v>
      </c>
      <c r="D25" s="274">
        <v>18</v>
      </c>
      <c r="E25" s="125">
        <f>C25/D25</f>
        <v>3667</v>
      </c>
      <c r="F25" s="125">
        <v>3667</v>
      </c>
      <c r="G25" s="125">
        <f>+C25-F25</f>
        <v>62339</v>
      </c>
      <c r="H25" s="125">
        <f>+G25-E25</f>
        <v>58672</v>
      </c>
      <c r="I25" s="146">
        <f>+DIESEL!F7/100</f>
        <v>0.16176470588235298</v>
      </c>
      <c r="J25" s="146">
        <f>+DIESEL!F10/100</f>
        <v>0.70588235294117652</v>
      </c>
      <c r="K25" s="146">
        <f>+DIESEL!F9/100</f>
        <v>0.13235294117647059</v>
      </c>
      <c r="L25" s="146"/>
      <c r="M25" s="151">
        <f>+E25*I25</f>
        <v>593.1911764705884</v>
      </c>
      <c r="N25" s="151">
        <f>+E25*J25</f>
        <v>2588.4705882352941</v>
      </c>
      <c r="O25" s="151">
        <f>+E25*K25</f>
        <v>485.33823529411768</v>
      </c>
      <c r="P25" s="151"/>
      <c r="Q25" s="151">
        <f>+(G25+H25)/2*I25</f>
        <v>9787.6544117647081</v>
      </c>
      <c r="R25" s="151">
        <f>+(G25+H25)/2*J25</f>
        <v>42709.764705882357</v>
      </c>
      <c r="S25" s="151">
        <f>+(G25+H25)/2*K25</f>
        <v>8008.0808823529414</v>
      </c>
      <c r="T25" s="151">
        <f>+(G25+H25)/2*L25</f>
        <v>0</v>
      </c>
    </row>
    <row r="26" spans="1:20" x14ac:dyDescent="0.4">
      <c r="A26" s="272" t="s">
        <v>134</v>
      </c>
      <c r="B26" s="273" t="s">
        <v>329</v>
      </c>
      <c r="C26" s="274">
        <v>45200</v>
      </c>
      <c r="D26" s="274">
        <v>15</v>
      </c>
      <c r="E26" s="128">
        <v>0</v>
      </c>
      <c r="F26" s="128">
        <v>45200</v>
      </c>
      <c r="G26" s="128">
        <v>0</v>
      </c>
      <c r="H26" s="128">
        <v>0</v>
      </c>
      <c r="I26" s="146">
        <f>+I25</f>
        <v>0.16176470588235298</v>
      </c>
      <c r="J26" s="146">
        <f>+J25</f>
        <v>0.70588235294117652</v>
      </c>
      <c r="K26" s="146">
        <f>+K25</f>
        <v>0.13235294117647059</v>
      </c>
      <c r="L26" s="146"/>
      <c r="M26" s="149">
        <f t="shared" ref="M26:M35" si="0">+E26*I26</f>
        <v>0</v>
      </c>
      <c r="N26" s="149">
        <f t="shared" ref="N26:N32" si="1">+E26*J26</f>
        <v>0</v>
      </c>
      <c r="O26" s="149">
        <f t="shared" ref="O26:O35" si="2">+E26*K26</f>
        <v>0</v>
      </c>
      <c r="P26" s="149"/>
      <c r="Q26" s="149">
        <f t="shared" ref="Q26:Q35" si="3">+(G26+H26)/2*I26</f>
        <v>0</v>
      </c>
      <c r="R26" s="149">
        <f t="shared" ref="R26:R35" si="4">+(G26+H26)/2*J26</f>
        <v>0</v>
      </c>
      <c r="S26" s="149">
        <f t="shared" ref="S26:S35" si="5">+(G26+H26)/2*K26</f>
        <v>0</v>
      </c>
      <c r="T26" s="149">
        <f t="shared" ref="T26:T35" si="6">+(G26+H26)/2*L26</f>
        <v>0</v>
      </c>
    </row>
    <row r="27" spans="1:20" x14ac:dyDescent="0.4">
      <c r="A27" s="272" t="s">
        <v>135</v>
      </c>
      <c r="B27" s="273" t="s">
        <v>330</v>
      </c>
      <c r="C27" s="274">
        <v>7580</v>
      </c>
      <c r="D27" s="274">
        <v>20</v>
      </c>
      <c r="E27" s="128">
        <v>0</v>
      </c>
      <c r="F27" s="128">
        <v>7580</v>
      </c>
      <c r="G27" s="128">
        <f t="shared" ref="G27:G34" si="7">+C27-F27</f>
        <v>0</v>
      </c>
      <c r="H27" s="128">
        <f t="shared" ref="H27:H34" si="8">+G27-E27</f>
        <v>0</v>
      </c>
      <c r="I27" s="146">
        <f>+SCHLÜSSEL!B10</f>
        <v>0.39285714285714285</v>
      </c>
      <c r="J27" s="146">
        <f>+SCHLÜSSEL!G10</f>
        <v>0.2857142857142857</v>
      </c>
      <c r="K27" s="146">
        <f>+SCHLÜSSEL!H10</f>
        <v>0.32142857142857145</v>
      </c>
      <c r="L27" s="146"/>
      <c r="M27" s="149">
        <f t="shared" si="0"/>
        <v>0</v>
      </c>
      <c r="N27" s="149">
        <f t="shared" si="1"/>
        <v>0</v>
      </c>
      <c r="O27" s="149">
        <f t="shared" si="2"/>
        <v>0</v>
      </c>
      <c r="P27" s="149"/>
      <c r="Q27" s="149">
        <f t="shared" si="3"/>
        <v>0</v>
      </c>
      <c r="R27" s="149">
        <f t="shared" si="4"/>
        <v>0</v>
      </c>
      <c r="S27" s="149">
        <f t="shared" si="5"/>
        <v>0</v>
      </c>
      <c r="T27" s="149">
        <f t="shared" si="6"/>
        <v>0</v>
      </c>
    </row>
    <row r="28" spans="1:20" x14ac:dyDescent="0.4">
      <c r="A28" s="272" t="s">
        <v>136</v>
      </c>
      <c r="B28" s="273" t="s">
        <v>331</v>
      </c>
      <c r="C28" s="274">
        <v>5600</v>
      </c>
      <c r="D28" s="274">
        <v>20</v>
      </c>
      <c r="E28" s="128">
        <f t="shared" ref="E28:E35" si="9">C28/D28</f>
        <v>280</v>
      </c>
      <c r="F28" s="128">
        <v>560</v>
      </c>
      <c r="G28" s="128">
        <f t="shared" si="7"/>
        <v>5040</v>
      </c>
      <c r="H28" s="128">
        <f t="shared" si="8"/>
        <v>4760</v>
      </c>
      <c r="I28" s="146">
        <f t="shared" ref="I28:K31" si="10">+I27</f>
        <v>0.39285714285714285</v>
      </c>
      <c r="J28" s="146">
        <f t="shared" si="10"/>
        <v>0.2857142857142857</v>
      </c>
      <c r="K28" s="146">
        <f t="shared" si="10"/>
        <v>0.32142857142857145</v>
      </c>
      <c r="L28" s="146"/>
      <c r="M28" s="149">
        <f t="shared" si="0"/>
        <v>110</v>
      </c>
      <c r="N28" s="149">
        <f>+E28*J28</f>
        <v>80</v>
      </c>
      <c r="O28" s="149">
        <f t="shared" si="2"/>
        <v>90</v>
      </c>
      <c r="P28" s="149"/>
      <c r="Q28" s="149">
        <f t="shared" si="3"/>
        <v>1925</v>
      </c>
      <c r="R28" s="149">
        <f t="shared" si="4"/>
        <v>1400</v>
      </c>
      <c r="S28" s="149">
        <f t="shared" si="5"/>
        <v>1575.0000000000002</v>
      </c>
      <c r="T28" s="149">
        <f t="shared" si="6"/>
        <v>0</v>
      </c>
    </row>
    <row r="29" spans="1:20" x14ac:dyDescent="0.4">
      <c r="A29" s="272" t="s">
        <v>137</v>
      </c>
      <c r="B29" s="273" t="s">
        <v>332</v>
      </c>
      <c r="C29" s="274">
        <v>8660</v>
      </c>
      <c r="D29" s="274">
        <v>20</v>
      </c>
      <c r="E29" s="128">
        <f t="shared" si="9"/>
        <v>433</v>
      </c>
      <c r="F29" s="128">
        <v>433</v>
      </c>
      <c r="G29" s="128">
        <f t="shared" si="7"/>
        <v>8227</v>
      </c>
      <c r="H29" s="128">
        <f t="shared" si="8"/>
        <v>7794</v>
      </c>
      <c r="I29" s="146">
        <f t="shared" si="10"/>
        <v>0.39285714285714285</v>
      </c>
      <c r="J29" s="146">
        <f t="shared" si="10"/>
        <v>0.2857142857142857</v>
      </c>
      <c r="K29" s="146">
        <f t="shared" si="10"/>
        <v>0.32142857142857145</v>
      </c>
      <c r="L29" s="146"/>
      <c r="M29" s="149">
        <f t="shared" si="0"/>
        <v>170.10714285714286</v>
      </c>
      <c r="N29" s="149">
        <f t="shared" si="1"/>
        <v>123.71428571428571</v>
      </c>
      <c r="O29" s="149">
        <f t="shared" si="2"/>
        <v>139.17857142857144</v>
      </c>
      <c r="P29" s="149"/>
      <c r="Q29" s="149">
        <f t="shared" si="3"/>
        <v>3146.9821428571427</v>
      </c>
      <c r="R29" s="149">
        <f t="shared" si="4"/>
        <v>2288.7142857142858</v>
      </c>
      <c r="S29" s="149">
        <f t="shared" si="5"/>
        <v>2574.8035714285716</v>
      </c>
      <c r="T29" s="149">
        <f t="shared" si="6"/>
        <v>0</v>
      </c>
    </row>
    <row r="30" spans="1:20" x14ac:dyDescent="0.4">
      <c r="A30" s="272" t="s">
        <v>138</v>
      </c>
      <c r="B30" s="273" t="s">
        <v>320</v>
      </c>
      <c r="C30" s="274">
        <v>6660</v>
      </c>
      <c r="D30" s="274">
        <v>20</v>
      </c>
      <c r="E30" s="128">
        <f t="shared" si="9"/>
        <v>333</v>
      </c>
      <c r="F30" s="128">
        <v>666</v>
      </c>
      <c r="G30" s="128">
        <f t="shared" si="7"/>
        <v>5994</v>
      </c>
      <c r="H30" s="128">
        <f t="shared" si="8"/>
        <v>5661</v>
      </c>
      <c r="I30" s="146">
        <f t="shared" si="10"/>
        <v>0.39285714285714285</v>
      </c>
      <c r="J30" s="146">
        <f t="shared" si="10"/>
        <v>0.2857142857142857</v>
      </c>
      <c r="K30" s="146">
        <f t="shared" si="10"/>
        <v>0.32142857142857145</v>
      </c>
      <c r="L30" s="146"/>
      <c r="M30" s="149">
        <f>+E30*I30</f>
        <v>130.82142857142856</v>
      </c>
      <c r="N30" s="149">
        <f t="shared" si="1"/>
        <v>95.142857142857139</v>
      </c>
      <c r="O30" s="149">
        <f t="shared" si="2"/>
        <v>107.03571428571429</v>
      </c>
      <c r="P30" s="149"/>
      <c r="Q30" s="149">
        <f t="shared" si="3"/>
        <v>2289.375</v>
      </c>
      <c r="R30" s="149">
        <f t="shared" si="4"/>
        <v>1665</v>
      </c>
      <c r="S30" s="149">
        <f t="shared" si="5"/>
        <v>1873.1250000000002</v>
      </c>
      <c r="T30" s="149">
        <f t="shared" si="6"/>
        <v>0</v>
      </c>
    </row>
    <row r="31" spans="1:20" x14ac:dyDescent="0.4">
      <c r="A31" s="272" t="s">
        <v>139</v>
      </c>
      <c r="B31" s="273" t="s">
        <v>333</v>
      </c>
      <c r="C31" s="274">
        <v>4100</v>
      </c>
      <c r="D31" s="274">
        <v>15</v>
      </c>
      <c r="E31" s="128">
        <v>0</v>
      </c>
      <c r="F31" s="128">
        <v>0</v>
      </c>
      <c r="G31" s="128">
        <v>0</v>
      </c>
      <c r="H31" s="128">
        <f t="shared" si="8"/>
        <v>0</v>
      </c>
      <c r="I31" s="146">
        <f t="shared" si="10"/>
        <v>0.39285714285714285</v>
      </c>
      <c r="J31" s="146">
        <f t="shared" si="10"/>
        <v>0.2857142857142857</v>
      </c>
      <c r="K31" s="146">
        <f t="shared" si="10"/>
        <v>0.32142857142857145</v>
      </c>
      <c r="L31" s="146"/>
      <c r="M31" s="149">
        <f t="shared" si="0"/>
        <v>0</v>
      </c>
      <c r="N31" s="149">
        <f t="shared" si="1"/>
        <v>0</v>
      </c>
      <c r="O31" s="149">
        <f t="shared" si="2"/>
        <v>0</v>
      </c>
      <c r="P31" s="149"/>
      <c r="Q31" s="149">
        <f t="shared" si="3"/>
        <v>0</v>
      </c>
      <c r="R31" s="149">
        <f t="shared" si="4"/>
        <v>0</v>
      </c>
      <c r="S31" s="149">
        <f t="shared" si="5"/>
        <v>0</v>
      </c>
      <c r="T31" s="149">
        <f t="shared" si="6"/>
        <v>0</v>
      </c>
    </row>
    <row r="32" spans="1:20" x14ac:dyDescent="0.4">
      <c r="A32" s="272" t="s">
        <v>334</v>
      </c>
      <c r="B32" s="273" t="s">
        <v>335</v>
      </c>
      <c r="C32" s="274">
        <v>5400</v>
      </c>
      <c r="D32" s="274">
        <v>18</v>
      </c>
      <c r="E32" s="128">
        <f t="shared" si="9"/>
        <v>300</v>
      </c>
      <c r="F32" s="128">
        <v>300</v>
      </c>
      <c r="G32" s="128">
        <f t="shared" si="7"/>
        <v>5100</v>
      </c>
      <c r="H32" s="128">
        <f t="shared" si="8"/>
        <v>4800</v>
      </c>
      <c r="I32" s="146"/>
      <c r="J32" s="146">
        <f>+J12</f>
        <v>0.8180003071724774</v>
      </c>
      <c r="K32" s="146">
        <f>+K12</f>
        <v>0.18199969282752262</v>
      </c>
      <c r="L32" s="146"/>
      <c r="M32" s="149">
        <f t="shared" si="0"/>
        <v>0</v>
      </c>
      <c r="N32" s="149">
        <f t="shared" si="1"/>
        <v>245.40009215174322</v>
      </c>
      <c r="O32" s="149">
        <f t="shared" si="2"/>
        <v>54.599907848256784</v>
      </c>
      <c r="P32" s="149"/>
      <c r="Q32" s="149">
        <f t="shared" si="3"/>
        <v>0</v>
      </c>
      <c r="R32" s="149">
        <f t="shared" si="4"/>
        <v>4049.1015205037634</v>
      </c>
      <c r="S32" s="149">
        <f t="shared" si="5"/>
        <v>900.89847949623697</v>
      </c>
      <c r="T32" s="149">
        <f t="shared" si="6"/>
        <v>0</v>
      </c>
    </row>
    <row r="33" spans="1:20" x14ac:dyDescent="0.4">
      <c r="A33" s="272" t="s">
        <v>336</v>
      </c>
      <c r="B33" s="273" t="s">
        <v>322</v>
      </c>
      <c r="C33" s="274">
        <v>25500</v>
      </c>
      <c r="D33" s="274">
        <v>15</v>
      </c>
      <c r="E33" s="128">
        <v>0</v>
      </c>
      <c r="F33" s="128">
        <v>25500</v>
      </c>
      <c r="G33" s="128">
        <f t="shared" si="7"/>
        <v>0</v>
      </c>
      <c r="H33" s="128">
        <f t="shared" si="8"/>
        <v>0</v>
      </c>
      <c r="I33" s="146"/>
      <c r="J33" s="146">
        <v>1</v>
      </c>
      <c r="K33" s="146"/>
      <c r="L33" s="146"/>
      <c r="M33" s="149">
        <f t="shared" si="0"/>
        <v>0</v>
      </c>
      <c r="N33" s="149">
        <f>+E33*J33</f>
        <v>0</v>
      </c>
      <c r="O33" s="149">
        <f t="shared" si="2"/>
        <v>0</v>
      </c>
      <c r="P33" s="149"/>
      <c r="Q33" s="149">
        <f t="shared" si="3"/>
        <v>0</v>
      </c>
      <c r="R33" s="149">
        <f t="shared" si="4"/>
        <v>0</v>
      </c>
      <c r="S33" s="149">
        <f t="shared" si="5"/>
        <v>0</v>
      </c>
      <c r="T33" s="149">
        <f t="shared" si="6"/>
        <v>0</v>
      </c>
    </row>
    <row r="34" spans="1:20" x14ac:dyDescent="0.4">
      <c r="A34" s="272" t="s">
        <v>142</v>
      </c>
      <c r="B34" s="273" t="s">
        <v>325</v>
      </c>
      <c r="C34" s="274">
        <v>2400</v>
      </c>
      <c r="D34" s="274">
        <v>20</v>
      </c>
      <c r="E34" s="128">
        <f t="shared" si="9"/>
        <v>120</v>
      </c>
      <c r="F34" s="128">
        <v>600</v>
      </c>
      <c r="G34" s="128">
        <f t="shared" si="7"/>
        <v>1800</v>
      </c>
      <c r="H34" s="128">
        <f t="shared" si="8"/>
        <v>1680</v>
      </c>
      <c r="I34" s="146">
        <f>+SCHLÜSSEL!B6</f>
        <v>0.125</v>
      </c>
      <c r="J34" s="146">
        <f>+SCHLÜSSEL!G6</f>
        <v>0.77272727272727271</v>
      </c>
      <c r="K34" s="146">
        <f>+SCHLÜSSEL!H6</f>
        <v>0.10227272727272728</v>
      </c>
      <c r="L34" s="146"/>
      <c r="M34" s="149">
        <f t="shared" si="0"/>
        <v>15</v>
      </c>
      <c r="N34" s="149">
        <f>+E34*J34</f>
        <v>92.72727272727272</v>
      </c>
      <c r="O34" s="149">
        <f t="shared" si="2"/>
        <v>12.272727272727273</v>
      </c>
      <c r="P34" s="149"/>
      <c r="Q34" s="149">
        <f t="shared" si="3"/>
        <v>217.5</v>
      </c>
      <c r="R34" s="149">
        <f t="shared" si="4"/>
        <v>1344.5454545454545</v>
      </c>
      <c r="S34" s="149">
        <f t="shared" si="5"/>
        <v>177.95454545454547</v>
      </c>
      <c r="T34" s="149">
        <f t="shared" si="6"/>
        <v>0</v>
      </c>
    </row>
    <row r="35" spans="1:20" x14ac:dyDescent="0.4">
      <c r="A35" s="275" t="s">
        <v>337</v>
      </c>
      <c r="B35" s="276" t="s">
        <v>338</v>
      </c>
      <c r="C35" s="277">
        <v>25000</v>
      </c>
      <c r="D35" s="277">
        <v>15</v>
      </c>
      <c r="E35" s="128">
        <f t="shared" si="9"/>
        <v>1666.6666666666667</v>
      </c>
      <c r="F35" s="128">
        <v>0</v>
      </c>
      <c r="G35" s="128">
        <v>0</v>
      </c>
      <c r="H35" s="128">
        <f>+C35-E35</f>
        <v>23333.333333333332</v>
      </c>
      <c r="I35" s="146"/>
      <c r="J35" s="146">
        <v>1</v>
      </c>
      <c r="K35" s="146"/>
      <c r="L35" s="146"/>
      <c r="M35" s="150">
        <f t="shared" si="0"/>
        <v>0</v>
      </c>
      <c r="N35" s="150">
        <f>+E35*J35</f>
        <v>1666.6666666666667</v>
      </c>
      <c r="O35" s="150">
        <f t="shared" si="2"/>
        <v>0</v>
      </c>
      <c r="P35" s="150"/>
      <c r="Q35" s="150">
        <f t="shared" si="3"/>
        <v>0</v>
      </c>
      <c r="R35" s="150">
        <f t="shared" si="4"/>
        <v>11666.666666666666</v>
      </c>
      <c r="S35" s="150">
        <f t="shared" si="5"/>
        <v>0</v>
      </c>
      <c r="T35" s="150">
        <f t="shared" si="6"/>
        <v>0</v>
      </c>
    </row>
    <row r="36" spans="1:20" x14ac:dyDescent="0.4">
      <c r="A36" s="132" t="s">
        <v>147</v>
      </c>
      <c r="B36" s="133"/>
      <c r="C36" s="134"/>
      <c r="D36" s="133"/>
      <c r="E36" s="135">
        <f>SUM(E25:E35)</f>
        <v>6799.666666666667</v>
      </c>
      <c r="F36" s="133"/>
      <c r="G36" s="133"/>
      <c r="H36" s="133"/>
      <c r="I36" s="152"/>
      <c r="J36" s="152"/>
      <c r="K36" s="152"/>
      <c r="L36" s="152"/>
      <c r="M36" s="278">
        <f>SUM(M25:M35)</f>
        <v>1019.1197478991598</v>
      </c>
      <c r="N36" s="278">
        <f>SUM(N25:N35)</f>
        <v>4892.1217626381194</v>
      </c>
      <c r="O36" s="278">
        <f>SUM(O25:O35)</f>
        <v>888.42515612938746</v>
      </c>
      <c r="P36" s="278"/>
      <c r="Q36" s="425"/>
      <c r="R36" s="426"/>
      <c r="S36" s="426"/>
      <c r="T36" s="427"/>
    </row>
    <row r="37" spans="1:20" x14ac:dyDescent="0.4">
      <c r="A37" s="136" t="s">
        <v>131</v>
      </c>
      <c r="B37" s="137"/>
      <c r="C37" s="137"/>
      <c r="D37" s="137"/>
      <c r="E37" s="137"/>
      <c r="F37" s="138"/>
      <c r="G37" s="135">
        <f>SUM(G25:G35)</f>
        <v>88500</v>
      </c>
      <c r="H37" s="135">
        <f>SUM(H25:H35)</f>
        <v>106700.33333333333</v>
      </c>
      <c r="I37" s="143"/>
      <c r="J37" s="143"/>
      <c r="K37" s="143"/>
      <c r="L37" s="143"/>
      <c r="M37" s="196"/>
      <c r="N37" s="196"/>
      <c r="O37" s="196"/>
      <c r="Q37" s="156">
        <f>SUM(Q25:Q35)</f>
        <v>17366.511554621851</v>
      </c>
      <c r="R37" s="156">
        <f>SUM(R25:R35)</f>
        <v>65123.792633312522</v>
      </c>
      <c r="S37" s="156">
        <f>SUM(S25:S35)</f>
        <v>15109.862478732295</v>
      </c>
      <c r="T37" s="156"/>
    </row>
    <row r="38" spans="1:20" x14ac:dyDescent="0.4">
      <c r="A38" s="429" t="s">
        <v>363</v>
      </c>
      <c r="B38" s="429"/>
      <c r="C38" s="429"/>
      <c r="D38" s="429"/>
      <c r="E38" s="429"/>
      <c r="F38" s="429"/>
      <c r="G38" s="284">
        <f>+(G37+H37)/2</f>
        <v>97600.166666666657</v>
      </c>
      <c r="I38" s="143"/>
      <c r="J38" s="143"/>
      <c r="K38" s="143"/>
      <c r="L38" s="143"/>
      <c r="Q38" s="280">
        <f>+Q37/$G$38</f>
        <v>0.17793526535598661</v>
      </c>
      <c r="R38" s="280">
        <f>+R37/$G$38</f>
        <v>0.66725083427090315</v>
      </c>
      <c r="S38" s="280">
        <f>+S37/$G$38</f>
        <v>0.15481390037311032</v>
      </c>
      <c r="T38" s="280">
        <f>+T37/$G$38</f>
        <v>0</v>
      </c>
    </row>
    <row r="39" spans="1:20" x14ac:dyDescent="0.4">
      <c r="A39" s="432" t="s">
        <v>364</v>
      </c>
      <c r="B39" s="433"/>
      <c r="C39" s="433"/>
      <c r="D39" s="433"/>
      <c r="E39" s="433"/>
      <c r="F39" s="434"/>
      <c r="G39" s="284">
        <f>+G38*0.035</f>
        <v>3416.0058333333332</v>
      </c>
      <c r="I39" s="143"/>
      <c r="J39" s="143"/>
      <c r="K39" s="143"/>
      <c r="L39" s="143"/>
      <c r="Q39" s="154"/>
      <c r="R39" s="154"/>
      <c r="S39" s="154"/>
      <c r="T39" s="154"/>
    </row>
    <row r="40" spans="1:20" x14ac:dyDescent="0.4">
      <c r="A40" s="120"/>
      <c r="I40" s="143"/>
      <c r="J40" s="143"/>
      <c r="K40" s="143"/>
      <c r="L40" s="143"/>
      <c r="Q40" s="154"/>
      <c r="R40" s="154"/>
      <c r="S40" s="154"/>
      <c r="T40" s="154"/>
    </row>
    <row r="41" spans="1:20" x14ac:dyDescent="0.4">
      <c r="A41" s="120"/>
      <c r="I41" s="143"/>
      <c r="J41" s="143"/>
      <c r="K41" s="143"/>
      <c r="L41" s="143"/>
      <c r="Q41" s="154"/>
      <c r="R41" s="154"/>
      <c r="S41" s="154"/>
      <c r="T41" s="154"/>
    </row>
    <row r="42" spans="1:20" x14ac:dyDescent="0.4">
      <c r="A42" s="120"/>
      <c r="I42" s="143"/>
      <c r="J42" s="143"/>
      <c r="K42" s="143"/>
      <c r="L42" s="143"/>
      <c r="Q42" s="154"/>
      <c r="R42" s="154"/>
      <c r="S42" s="154"/>
      <c r="T42" s="154"/>
    </row>
    <row r="43" spans="1:20" x14ac:dyDescent="0.4">
      <c r="A43" s="120"/>
      <c r="Q43" s="154"/>
      <c r="R43" s="154"/>
      <c r="S43" s="154"/>
      <c r="T43" s="154"/>
    </row>
    <row r="44" spans="1:20" x14ac:dyDescent="0.4">
      <c r="A44" s="120"/>
      <c r="Q44" s="155"/>
      <c r="R44" s="155"/>
      <c r="S44" s="155"/>
      <c r="T44" s="155"/>
    </row>
    <row r="45" spans="1:20" x14ac:dyDescent="0.4">
      <c r="A45" s="120"/>
    </row>
    <row r="46" spans="1:20" x14ac:dyDescent="0.4">
      <c r="A46" s="120"/>
    </row>
    <row r="47" spans="1:20" x14ac:dyDescent="0.4">
      <c r="A47" s="120"/>
    </row>
    <row r="48" spans="1:20" x14ac:dyDescent="0.4">
      <c r="A48" s="120"/>
    </row>
    <row r="49" spans="1:8" x14ac:dyDescent="0.4">
      <c r="A49" s="120"/>
    </row>
    <row r="50" spans="1:8" ht="43.75" x14ac:dyDescent="0.4">
      <c r="A50" s="139" t="s">
        <v>33</v>
      </c>
      <c r="B50" s="121" t="s">
        <v>121</v>
      </c>
      <c r="C50" s="121" t="s">
        <v>122</v>
      </c>
      <c r="D50" s="121" t="s">
        <v>123</v>
      </c>
      <c r="E50" s="121" t="s">
        <v>124</v>
      </c>
      <c r="F50" s="121" t="s">
        <v>125</v>
      </c>
      <c r="G50" s="121" t="s">
        <v>126</v>
      </c>
      <c r="H50" s="121" t="s">
        <v>127</v>
      </c>
    </row>
    <row r="51" spans="1:8" x14ac:dyDescent="0.4">
      <c r="A51" s="123" t="s">
        <v>132</v>
      </c>
      <c r="B51" s="124">
        <v>40303</v>
      </c>
      <c r="C51" s="125">
        <v>42000</v>
      </c>
      <c r="D51" s="125">
        <v>15</v>
      </c>
      <c r="E51" s="125">
        <f>C51/D51</f>
        <v>2800</v>
      </c>
      <c r="F51" s="125">
        <v>0</v>
      </c>
      <c r="G51" s="125">
        <v>0</v>
      </c>
      <c r="H51" s="125">
        <f>+C51-E51</f>
        <v>39200</v>
      </c>
    </row>
    <row r="52" spans="1:8" x14ac:dyDescent="0.4">
      <c r="A52" s="126" t="s">
        <v>133</v>
      </c>
      <c r="B52" s="127">
        <v>33898</v>
      </c>
      <c r="C52" s="128">
        <v>32500</v>
      </c>
      <c r="D52" s="128">
        <v>15</v>
      </c>
      <c r="E52" s="128">
        <v>0</v>
      </c>
      <c r="F52" s="128">
        <v>0</v>
      </c>
      <c r="G52" s="128">
        <v>0</v>
      </c>
      <c r="H52" s="128">
        <v>0</v>
      </c>
    </row>
    <row r="53" spans="1:8" x14ac:dyDescent="0.4">
      <c r="A53" s="126" t="s">
        <v>134</v>
      </c>
      <c r="B53" s="127">
        <v>29911</v>
      </c>
      <c r="C53" s="128">
        <v>25500</v>
      </c>
      <c r="D53" s="128">
        <v>15</v>
      </c>
      <c r="E53" s="128">
        <v>0</v>
      </c>
      <c r="F53" s="128">
        <v>0</v>
      </c>
      <c r="G53" s="128">
        <v>0</v>
      </c>
      <c r="H53" s="128">
        <v>0</v>
      </c>
    </row>
    <row r="54" spans="1:8" x14ac:dyDescent="0.4">
      <c r="A54" s="126" t="s">
        <v>135</v>
      </c>
      <c r="B54" s="127">
        <v>36988</v>
      </c>
      <c r="C54" s="128">
        <v>4500</v>
      </c>
      <c r="D54" s="128">
        <v>20</v>
      </c>
      <c r="E54" s="128">
        <f t="shared" ref="E54:E63" si="11">C54/D54</f>
        <v>225</v>
      </c>
      <c r="F54" s="128">
        <f>(2009-2000)*E54</f>
        <v>2025</v>
      </c>
      <c r="G54" s="128">
        <f>C54-F54</f>
        <v>2475</v>
      </c>
      <c r="H54" s="128">
        <f t="shared" ref="H54:H63" si="12">+G54-E54</f>
        <v>2250</v>
      </c>
    </row>
    <row r="55" spans="1:8" x14ac:dyDescent="0.4">
      <c r="A55" s="126" t="s">
        <v>136</v>
      </c>
      <c r="B55" s="127">
        <v>37752</v>
      </c>
      <c r="C55" s="128">
        <v>5500</v>
      </c>
      <c r="D55" s="128">
        <v>20</v>
      </c>
      <c r="E55" s="128">
        <f t="shared" si="11"/>
        <v>275</v>
      </c>
      <c r="F55" s="128">
        <f>(2009-2002)*E55</f>
        <v>1925</v>
      </c>
      <c r="G55" s="128">
        <f>C55-F55</f>
        <v>3575</v>
      </c>
      <c r="H55" s="128">
        <f t="shared" si="12"/>
        <v>3300</v>
      </c>
    </row>
    <row r="56" spans="1:8" x14ac:dyDescent="0.4">
      <c r="A56" s="126" t="s">
        <v>137</v>
      </c>
      <c r="B56" s="127">
        <v>35885</v>
      </c>
      <c r="C56" s="128">
        <v>6250</v>
      </c>
      <c r="D56" s="128">
        <v>15</v>
      </c>
      <c r="E56" s="128">
        <f t="shared" si="11"/>
        <v>416.66666666666669</v>
      </c>
      <c r="F56" s="128">
        <f>(2009-1997)*E56</f>
        <v>5000</v>
      </c>
      <c r="G56" s="128">
        <f>C56-F56</f>
        <v>1250</v>
      </c>
      <c r="H56" s="128">
        <f t="shared" si="12"/>
        <v>833.33333333333326</v>
      </c>
    </row>
    <row r="57" spans="1:8" x14ac:dyDescent="0.4">
      <c r="A57" s="126" t="s">
        <v>138</v>
      </c>
      <c r="B57" s="127">
        <v>39203</v>
      </c>
      <c r="C57" s="128">
        <v>4650</v>
      </c>
      <c r="D57" s="128">
        <v>15</v>
      </c>
      <c r="E57" s="128">
        <f t="shared" si="11"/>
        <v>310</v>
      </c>
      <c r="F57" s="128">
        <f>(2009-2006)*E57</f>
        <v>930</v>
      </c>
      <c r="G57" s="128">
        <f>C57-F57</f>
        <v>3720</v>
      </c>
      <c r="H57" s="128">
        <f t="shared" si="12"/>
        <v>3410</v>
      </c>
    </row>
    <row r="58" spans="1:8" x14ac:dyDescent="0.4">
      <c r="A58" s="126" t="s">
        <v>139</v>
      </c>
      <c r="B58" s="127">
        <v>32470</v>
      </c>
      <c r="C58" s="128">
        <v>4000</v>
      </c>
      <c r="D58" s="128">
        <v>15</v>
      </c>
      <c r="E58" s="128">
        <v>0</v>
      </c>
      <c r="F58" s="128">
        <f>(2009-1987)*E58</f>
        <v>0</v>
      </c>
      <c r="G58" s="128">
        <v>0</v>
      </c>
      <c r="H58" s="128">
        <v>0</v>
      </c>
    </row>
    <row r="59" spans="1:8" x14ac:dyDescent="0.4">
      <c r="A59" s="126" t="s">
        <v>140</v>
      </c>
      <c r="B59" s="127">
        <v>36932</v>
      </c>
      <c r="C59" s="128">
        <v>8500</v>
      </c>
      <c r="D59" s="128">
        <v>15</v>
      </c>
      <c r="E59" s="128">
        <f t="shared" si="11"/>
        <v>566.66666666666663</v>
      </c>
      <c r="F59" s="128">
        <f>(2009-2000)*E59</f>
        <v>5100</v>
      </c>
      <c r="G59" s="128">
        <f>C59-F59</f>
        <v>3400</v>
      </c>
      <c r="H59" s="128">
        <f t="shared" si="12"/>
        <v>2833.3333333333335</v>
      </c>
    </row>
    <row r="60" spans="1:8" x14ac:dyDescent="0.4">
      <c r="A60" s="126" t="s">
        <v>141</v>
      </c>
      <c r="B60" s="127">
        <v>36305</v>
      </c>
      <c r="C60" s="128">
        <v>2550</v>
      </c>
      <c r="D60" s="128">
        <v>15</v>
      </c>
      <c r="E60" s="128">
        <f t="shared" si="11"/>
        <v>170</v>
      </c>
      <c r="F60" s="128">
        <f>(2009-1998)*E60</f>
        <v>1870</v>
      </c>
      <c r="G60" s="128">
        <f>C60-F60</f>
        <v>680</v>
      </c>
      <c r="H60" s="128">
        <f t="shared" si="12"/>
        <v>510</v>
      </c>
    </row>
    <row r="61" spans="1:8" x14ac:dyDescent="0.4">
      <c r="A61" s="126" t="s">
        <v>144</v>
      </c>
      <c r="B61" s="127">
        <v>37004</v>
      </c>
      <c r="C61" s="128">
        <v>25500</v>
      </c>
      <c r="D61" s="128">
        <v>15</v>
      </c>
      <c r="E61" s="128">
        <f t="shared" si="11"/>
        <v>1700</v>
      </c>
      <c r="F61" s="128">
        <f>(2009-2000)*E61</f>
        <v>15300</v>
      </c>
      <c r="G61" s="128">
        <f>C61-F61</f>
        <v>10200</v>
      </c>
      <c r="H61" s="128">
        <f t="shared" si="12"/>
        <v>8500</v>
      </c>
    </row>
    <row r="62" spans="1:8" x14ac:dyDescent="0.4">
      <c r="A62" s="126" t="s">
        <v>142</v>
      </c>
      <c r="B62" s="127">
        <v>38119</v>
      </c>
      <c r="C62" s="128">
        <v>4210</v>
      </c>
      <c r="D62" s="128">
        <v>20</v>
      </c>
      <c r="E62" s="128">
        <f t="shared" si="11"/>
        <v>210.5</v>
      </c>
      <c r="F62" s="128">
        <f>(2009-2003)*E62</f>
        <v>1263</v>
      </c>
      <c r="G62" s="128">
        <f>C62-F62</f>
        <v>2947</v>
      </c>
      <c r="H62" s="128">
        <f>+G62-E62</f>
        <v>2736.5</v>
      </c>
    </row>
    <row r="63" spans="1:8" x14ac:dyDescent="0.4">
      <c r="A63" s="129" t="s">
        <v>143</v>
      </c>
      <c r="B63" s="130">
        <v>39568</v>
      </c>
      <c r="C63" s="131">
        <v>6500</v>
      </c>
      <c r="D63" s="131">
        <v>15</v>
      </c>
      <c r="E63" s="131">
        <f t="shared" si="11"/>
        <v>433.33333333333331</v>
      </c>
      <c r="F63" s="131">
        <f>(2009-2007)*E63</f>
        <v>866.66666666666663</v>
      </c>
      <c r="G63" s="131">
        <f>C63-F63</f>
        <v>5633.333333333333</v>
      </c>
      <c r="H63" s="131">
        <f t="shared" si="12"/>
        <v>5200</v>
      </c>
    </row>
    <row r="64" spans="1:8" x14ac:dyDescent="0.4">
      <c r="A64" s="140" t="s">
        <v>130</v>
      </c>
      <c r="B64" s="133"/>
      <c r="C64" s="134">
        <f>SUM(C51:C63)</f>
        <v>172160</v>
      </c>
      <c r="D64" s="133"/>
      <c r="E64" s="135">
        <f>SUM(E51:E63)</f>
        <v>7107.1666666666661</v>
      </c>
      <c r="F64" s="133"/>
      <c r="G64" s="133"/>
    </row>
    <row r="65" spans="1:8" x14ac:dyDescent="0.4">
      <c r="A65" s="141" t="s">
        <v>131</v>
      </c>
      <c r="B65" s="137"/>
      <c r="C65" s="137"/>
      <c r="D65" s="137"/>
      <c r="E65" s="137"/>
      <c r="F65" s="137"/>
      <c r="G65" s="135">
        <f>SUM(G51:G63)</f>
        <v>33880.333333333336</v>
      </c>
      <c r="H65" s="135">
        <f>SUM(H51:H63)</f>
        <v>68773.166666666672</v>
      </c>
    </row>
  </sheetData>
  <mergeCells count="32">
    <mergeCell ref="Q15:T15"/>
    <mergeCell ref="A3:T3"/>
    <mergeCell ref="A5:T5"/>
    <mergeCell ref="A20:T20"/>
    <mergeCell ref="A17:F17"/>
    <mergeCell ref="G8:G9"/>
    <mergeCell ref="H8:H9"/>
    <mergeCell ref="I8:L8"/>
    <mergeCell ref="M8:P8"/>
    <mergeCell ref="Q8:T8"/>
    <mergeCell ref="I15:L15"/>
    <mergeCell ref="A8:A9"/>
    <mergeCell ref="B8:B9"/>
    <mergeCell ref="C8:C9"/>
    <mergeCell ref="D8:D9"/>
    <mergeCell ref="E8:E9"/>
    <mergeCell ref="F8:F9"/>
    <mergeCell ref="A18:F18"/>
    <mergeCell ref="A39:F39"/>
    <mergeCell ref="H23:H24"/>
    <mergeCell ref="A23:A24"/>
    <mergeCell ref="B23:B24"/>
    <mergeCell ref="C23:C24"/>
    <mergeCell ref="D23:D24"/>
    <mergeCell ref="E23:E24"/>
    <mergeCell ref="F23:F24"/>
    <mergeCell ref="G23:G24"/>
    <mergeCell ref="Q36:T36"/>
    <mergeCell ref="I23:L23"/>
    <mergeCell ref="M23:P23"/>
    <mergeCell ref="Q23:T23"/>
    <mergeCell ref="A38:F38"/>
  </mergeCells>
  <phoneticPr fontId="0" type="noConversion"/>
  <pageMargins left="0.78740157499999996" right="0.78740157499999996" top="0.984251969" bottom="0.984251969" header="0.4921259845" footer="0.4921259845"/>
  <pageSetup paperSize="9"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110" zoomScaleNormal="110" workbookViewId="0">
      <selection activeCell="A8" sqref="A8"/>
    </sheetView>
  </sheetViews>
  <sheetFormatPr baseColWidth="10" defaultRowHeight="14.6" x14ac:dyDescent="0.4"/>
  <cols>
    <col min="1" max="1" width="24" customWidth="1"/>
    <col min="2" max="8" width="9.84375" customWidth="1"/>
  </cols>
  <sheetData>
    <row r="1" spans="1:9" ht="28.3" x14ac:dyDescent="0.75">
      <c r="A1" s="214" t="s">
        <v>369</v>
      </c>
    </row>
    <row r="3" spans="1:9" x14ac:dyDescent="0.4">
      <c r="A3" s="412" t="s">
        <v>33</v>
      </c>
      <c r="B3" s="440" t="s">
        <v>172</v>
      </c>
      <c r="C3" s="371" t="s">
        <v>169</v>
      </c>
      <c r="D3" s="371"/>
      <c r="E3" s="371"/>
      <c r="F3" s="396" t="s">
        <v>76</v>
      </c>
      <c r="G3" s="440" t="s">
        <v>171</v>
      </c>
      <c r="H3" s="440" t="s">
        <v>223</v>
      </c>
      <c r="I3" s="440" t="s">
        <v>25</v>
      </c>
    </row>
    <row r="4" spans="1:9" x14ac:dyDescent="0.4">
      <c r="A4" s="413"/>
      <c r="B4" s="441"/>
      <c r="C4" s="14" t="s">
        <v>103</v>
      </c>
      <c r="D4" s="14" t="s">
        <v>104</v>
      </c>
      <c r="E4" s="14" t="s">
        <v>307</v>
      </c>
      <c r="F4" s="397"/>
      <c r="G4" s="441"/>
      <c r="H4" s="441"/>
      <c r="I4" s="441"/>
    </row>
    <row r="5" spans="1:9" x14ac:dyDescent="0.4">
      <c r="A5" s="6" t="s">
        <v>306</v>
      </c>
      <c r="B5" s="266">
        <f>+BETRIEB!B9+BETRIEB!B10</f>
        <v>2.75</v>
      </c>
      <c r="C5" s="266">
        <f>+BETRIEB!B8</f>
        <v>2.25</v>
      </c>
      <c r="D5" s="266">
        <f>+BETRIEB!B11</f>
        <v>2</v>
      </c>
      <c r="E5" s="266">
        <f>+BETRIEB!B12</f>
        <v>15</v>
      </c>
      <c r="F5" s="266">
        <f>+B5+C5+D5+E5</f>
        <v>22</v>
      </c>
      <c r="G5" s="266">
        <f>+D5+E5</f>
        <v>17</v>
      </c>
      <c r="H5" s="266">
        <f>+C5</f>
        <v>2.25</v>
      </c>
      <c r="I5" s="442"/>
    </row>
    <row r="6" spans="1:9" s="28" customFormat="1" x14ac:dyDescent="0.4">
      <c r="A6" s="46" t="s">
        <v>305</v>
      </c>
      <c r="B6" s="288">
        <f>+B5/$F$5</f>
        <v>0.125</v>
      </c>
      <c r="C6" s="289"/>
      <c r="D6" s="289"/>
      <c r="E6" s="289"/>
      <c r="F6" s="289"/>
      <c r="G6" s="288">
        <f>+G5/$F$5</f>
        <v>0.77272727272727271</v>
      </c>
      <c r="H6" s="288">
        <f>+H5/$F$5</f>
        <v>0.10227272727272728</v>
      </c>
      <c r="I6" s="443"/>
    </row>
    <row r="7" spans="1:9" x14ac:dyDescent="0.4">
      <c r="A7" s="6" t="s">
        <v>19</v>
      </c>
      <c r="B7" s="266">
        <v>0</v>
      </c>
      <c r="C7" s="266">
        <v>0</v>
      </c>
      <c r="D7" s="266">
        <v>0</v>
      </c>
      <c r="E7" s="266">
        <v>0</v>
      </c>
      <c r="F7" s="266">
        <f>+TIERE!J15</f>
        <v>34.5</v>
      </c>
      <c r="G7" s="266">
        <f>+TIERE!J7</f>
        <v>26.200000000000003</v>
      </c>
      <c r="H7" s="266">
        <f>+TIERE!J12</f>
        <v>8.3000000000000007</v>
      </c>
      <c r="I7" s="443"/>
    </row>
    <row r="8" spans="1:9" s="28" customFormat="1" x14ac:dyDescent="0.4">
      <c r="A8" s="46" t="s">
        <v>79</v>
      </c>
      <c r="B8" s="290">
        <f>+B7/$F$5</f>
        <v>0</v>
      </c>
      <c r="C8" s="291"/>
      <c r="D8" s="291"/>
      <c r="E8" s="291"/>
      <c r="F8" s="291"/>
      <c r="G8" s="288">
        <f>+G7/$F$7</f>
        <v>0.75942028985507259</v>
      </c>
      <c r="H8" s="288">
        <f>+H7/$F$7</f>
        <v>0.24057971014492754</v>
      </c>
      <c r="I8" s="443"/>
    </row>
    <row r="9" spans="1:9" x14ac:dyDescent="0.4">
      <c r="A9" s="6" t="s">
        <v>346</v>
      </c>
      <c r="B9" s="266">
        <f>+BETRIEB!B9+BETRIEB!B10</f>
        <v>2.75</v>
      </c>
      <c r="C9" s="266">
        <f>+BETRIEB!B8</f>
        <v>2.25</v>
      </c>
      <c r="D9" s="266">
        <f>+BETRIEB!B11</f>
        <v>2</v>
      </c>
      <c r="E9" s="266"/>
      <c r="F9" s="266">
        <f>+B9+C9+D9+E9</f>
        <v>7</v>
      </c>
      <c r="G9" s="266">
        <f>+D9</f>
        <v>2</v>
      </c>
      <c r="H9" s="266">
        <f>+C9</f>
        <v>2.25</v>
      </c>
      <c r="I9" s="443"/>
    </row>
    <row r="10" spans="1:9" s="28" customFormat="1" x14ac:dyDescent="0.4">
      <c r="A10" s="46" t="s">
        <v>358</v>
      </c>
      <c r="B10" s="288">
        <f>+B9/$F$9</f>
        <v>0.39285714285714285</v>
      </c>
      <c r="C10" s="291"/>
      <c r="D10" s="291"/>
      <c r="E10" s="291"/>
      <c r="F10" s="291"/>
      <c r="G10" s="288">
        <f>+G9/$F$9</f>
        <v>0.2857142857142857</v>
      </c>
      <c r="H10" s="288">
        <f>+H9/$F$9</f>
        <v>0.32142857142857145</v>
      </c>
      <c r="I10" s="443"/>
    </row>
    <row r="11" spans="1:9" x14ac:dyDescent="0.4">
      <c r="A11" s="6" t="s">
        <v>359</v>
      </c>
      <c r="B11" s="266">
        <v>0</v>
      </c>
      <c r="C11" s="266">
        <v>0</v>
      </c>
      <c r="D11" s="266">
        <v>0</v>
      </c>
      <c r="E11" s="266">
        <f>+BETRIEB!B12</f>
        <v>15</v>
      </c>
      <c r="F11" s="266">
        <f>+B11+C11+D11+E11</f>
        <v>15</v>
      </c>
      <c r="G11" s="266">
        <f>+E11</f>
        <v>15</v>
      </c>
      <c r="H11" s="266">
        <f>+C11</f>
        <v>0</v>
      </c>
      <c r="I11" s="443"/>
    </row>
    <row r="12" spans="1:9" s="28" customFormat="1" x14ac:dyDescent="0.4">
      <c r="A12" s="46" t="s">
        <v>360</v>
      </c>
      <c r="B12" s="288">
        <f>+B11/$F$9</f>
        <v>0</v>
      </c>
      <c r="C12" s="291"/>
      <c r="D12" s="291"/>
      <c r="E12" s="291"/>
      <c r="F12" s="291"/>
      <c r="G12" s="288">
        <f>+G11/F11</f>
        <v>1</v>
      </c>
      <c r="H12" s="288">
        <f>+H11/$F$9</f>
        <v>0</v>
      </c>
      <c r="I12" s="444"/>
    </row>
    <row r="13" spans="1:9" x14ac:dyDescent="0.4">
      <c r="A13" s="6" t="s">
        <v>203</v>
      </c>
      <c r="B13" s="281">
        <f>+BZA!E39</f>
        <v>2046.4970841808326</v>
      </c>
      <c r="C13" s="282"/>
      <c r="D13" s="282"/>
      <c r="E13" s="282"/>
      <c r="F13" s="283">
        <f>+B13+I13+H13+G13</f>
        <v>54234</v>
      </c>
      <c r="G13" s="281">
        <f>+BZA!F39</f>
        <v>34343.247039065121</v>
      </c>
      <c r="H13" s="281">
        <f>+BZA!G39</f>
        <v>364.25587675404313</v>
      </c>
      <c r="I13" s="281">
        <f>+BZA!H39</f>
        <v>17480</v>
      </c>
    </row>
    <row r="14" spans="1:9" s="28" customFormat="1" x14ac:dyDescent="0.4">
      <c r="A14" s="46" t="s">
        <v>371</v>
      </c>
      <c r="B14" s="288">
        <f>+B13/$F$13</f>
        <v>3.7734577648354035E-2</v>
      </c>
      <c r="C14" s="289"/>
      <c r="D14" s="289"/>
      <c r="E14" s="289"/>
      <c r="F14" s="289"/>
      <c r="G14" s="288">
        <f>+G13/$F$13</f>
        <v>0.63324200757947269</v>
      </c>
      <c r="H14" s="288">
        <f>+H13/$F$13</f>
        <v>6.7163749078814608E-3</v>
      </c>
      <c r="I14" s="288">
        <f>+I13/$F$13</f>
        <v>0.32230703986429177</v>
      </c>
    </row>
    <row r="15" spans="1:9" x14ac:dyDescent="0.4">
      <c r="A15" s="6" t="s">
        <v>353</v>
      </c>
      <c r="B15" s="281">
        <v>45</v>
      </c>
      <c r="C15" s="282"/>
      <c r="D15" s="282"/>
      <c r="E15" s="282"/>
      <c r="F15" s="283">
        <f>+B15+I15+H15+G15</f>
        <v>2665</v>
      </c>
      <c r="G15" s="281">
        <v>1250</v>
      </c>
      <c r="H15" s="281">
        <v>250</v>
      </c>
      <c r="I15" s="281">
        <v>1120</v>
      </c>
    </row>
    <row r="16" spans="1:9" s="28" customFormat="1" x14ac:dyDescent="0.4">
      <c r="A16" s="46" t="s">
        <v>370</v>
      </c>
      <c r="B16" s="288">
        <f>+B15/$F$15</f>
        <v>1.6885553470919325E-2</v>
      </c>
      <c r="C16" s="289"/>
      <c r="D16" s="289"/>
      <c r="E16" s="289"/>
      <c r="F16" s="289"/>
      <c r="G16" s="288">
        <f>+G15/$F$15</f>
        <v>0.46904315196998125</v>
      </c>
      <c r="H16" s="288">
        <f>+H15/$F$15</f>
        <v>9.3808630393996242E-2</v>
      </c>
      <c r="I16" s="288">
        <f>+I15/$F$15</f>
        <v>0.42026266416510322</v>
      </c>
    </row>
    <row r="22" spans="3:5" x14ac:dyDescent="0.4">
      <c r="C22" s="99"/>
      <c r="D22" s="99"/>
      <c r="E22" s="99"/>
    </row>
  </sheetData>
  <mergeCells count="8">
    <mergeCell ref="I3:I4"/>
    <mergeCell ref="I5:I12"/>
    <mergeCell ref="A3:A4"/>
    <mergeCell ref="B3:B4"/>
    <mergeCell ref="C3:E3"/>
    <mergeCell ref="F3:F4"/>
    <mergeCell ref="G3:G4"/>
    <mergeCell ref="H3:H4"/>
  </mergeCells>
  <phoneticPr fontId="0" type="noConversion"/>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10" zoomScaleNormal="110" workbookViewId="0">
      <selection activeCell="D13" sqref="D13"/>
    </sheetView>
  </sheetViews>
  <sheetFormatPr baseColWidth="10" defaultRowHeight="14.6" x14ac:dyDescent="0.4"/>
  <cols>
    <col min="1" max="1" width="43" customWidth="1"/>
  </cols>
  <sheetData>
    <row r="1" spans="1:5" ht="28.3" x14ac:dyDescent="0.75">
      <c r="A1" s="214" t="s">
        <v>381</v>
      </c>
    </row>
    <row r="3" spans="1:5" ht="95.25" customHeight="1" x14ac:dyDescent="0.4">
      <c r="A3" s="445" t="s">
        <v>380</v>
      </c>
      <c r="B3" s="445"/>
      <c r="C3" s="445"/>
      <c r="D3" s="445"/>
      <c r="E3" s="445"/>
    </row>
    <row r="5" spans="1:5" s="44" customFormat="1" x14ac:dyDescent="0.4">
      <c r="A5" s="292" t="s">
        <v>372</v>
      </c>
      <c r="B5" s="293">
        <f>+BZA!I56</f>
        <v>-10077.047500000008</v>
      </c>
    </row>
    <row r="6" spans="1:5" s="44" customFormat="1" x14ac:dyDescent="0.4">
      <c r="A6" s="294" t="s">
        <v>192</v>
      </c>
      <c r="B6" s="295">
        <f>+BZA!I48</f>
        <v>21297</v>
      </c>
    </row>
    <row r="7" spans="1:5" s="44" customFormat="1" x14ac:dyDescent="0.4">
      <c r="A7" s="296" t="s">
        <v>373</v>
      </c>
      <c r="B7" s="297">
        <v>0</v>
      </c>
    </row>
    <row r="8" spans="1:5" s="44" customFormat="1" x14ac:dyDescent="0.4">
      <c r="A8" s="296" t="s">
        <v>374</v>
      </c>
      <c r="B8" s="297">
        <f>+BZA!D50+BZA!D51</f>
        <v>5800</v>
      </c>
    </row>
    <row r="9" spans="1:5" s="44" customFormat="1" x14ac:dyDescent="0.4">
      <c r="A9" s="296" t="s">
        <v>191</v>
      </c>
      <c r="B9" s="297">
        <f>+BZA!D52</f>
        <v>3416.0058333333332</v>
      </c>
    </row>
    <row r="10" spans="1:5" s="44" customFormat="1" x14ac:dyDescent="0.4">
      <c r="A10" s="296" t="s">
        <v>375</v>
      </c>
      <c r="B10" s="297">
        <f>+BZA!D53</f>
        <v>4527.25</v>
      </c>
    </row>
    <row r="11" spans="1:5" s="44" customFormat="1" x14ac:dyDescent="0.4">
      <c r="A11" s="296" t="s">
        <v>376</v>
      </c>
      <c r="B11" s="297">
        <f>+BZA!D54</f>
        <v>1147.125</v>
      </c>
    </row>
    <row r="12" spans="1:5" s="44" customFormat="1" x14ac:dyDescent="0.4">
      <c r="A12" s="296" t="s">
        <v>377</v>
      </c>
      <c r="B12" s="298">
        <v>0</v>
      </c>
    </row>
    <row r="13" spans="1:5" s="44" customFormat="1" x14ac:dyDescent="0.4">
      <c r="A13" s="296" t="s">
        <v>178</v>
      </c>
      <c r="B13" s="297">
        <v>1100</v>
      </c>
    </row>
    <row r="14" spans="1:5" s="44" customFormat="1" x14ac:dyDescent="0.4">
      <c r="A14" s="301" t="s">
        <v>378</v>
      </c>
      <c r="B14" s="302">
        <v>0</v>
      </c>
    </row>
    <row r="15" spans="1:5" s="44" customFormat="1" x14ac:dyDescent="0.4">
      <c r="A15" s="299" t="s">
        <v>379</v>
      </c>
      <c r="B15" s="300">
        <f>SUM(B5:B12)-B13-B14</f>
        <v>25010.333333333325</v>
      </c>
    </row>
  </sheetData>
  <mergeCells count="1">
    <mergeCell ref="A3:E3"/>
  </mergeCells>
  <phoneticPr fontId="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1"/>
  <sheetViews>
    <sheetView topLeftCell="A22" zoomScale="110" zoomScaleNormal="110" workbookViewId="0">
      <selection activeCell="C76" sqref="C76"/>
    </sheetView>
  </sheetViews>
  <sheetFormatPr baseColWidth="10" defaultRowHeight="14.6" x14ac:dyDescent="0.4"/>
  <cols>
    <col min="1" max="1" width="24.15234375" customWidth="1"/>
    <col min="2" max="2" width="8.3046875" customWidth="1"/>
    <col min="3" max="3" width="7" customWidth="1"/>
    <col min="4" max="4" width="8.84375" customWidth="1"/>
    <col min="5" max="5" width="8.3046875" customWidth="1"/>
    <col min="6" max="6" width="8.15234375" customWidth="1"/>
  </cols>
  <sheetData>
    <row r="1" spans="1:13" ht="28.3" x14ac:dyDescent="0.75">
      <c r="A1" s="214" t="s">
        <v>391</v>
      </c>
    </row>
    <row r="3" spans="1:13" ht="18.45" x14ac:dyDescent="0.5">
      <c r="A3" s="305" t="s">
        <v>392</v>
      </c>
    </row>
    <row r="5" spans="1:13" ht="88.5" customHeight="1" x14ac:dyDescent="0.4">
      <c r="A5" s="344" t="s">
        <v>383</v>
      </c>
      <c r="B5" s="345"/>
      <c r="C5" s="345"/>
      <c r="D5" s="345"/>
      <c r="E5" s="345"/>
      <c r="F5" s="345"/>
      <c r="G5" s="346"/>
    </row>
    <row r="7" spans="1:13" ht="15.9" x14ac:dyDescent="0.45">
      <c r="A7" s="304" t="s">
        <v>176</v>
      </c>
    </row>
    <row r="8" spans="1:13" ht="128.25" customHeight="1" x14ac:dyDescent="0.4">
      <c r="A8" s="344" t="s">
        <v>384</v>
      </c>
      <c r="B8" s="345"/>
      <c r="C8" s="345"/>
      <c r="D8" s="345"/>
      <c r="E8" s="345"/>
      <c r="F8" s="345"/>
      <c r="G8" s="346"/>
    </row>
    <row r="9" spans="1:13" x14ac:dyDescent="0.4">
      <c r="A9" s="28"/>
    </row>
    <row r="10" spans="1:13" s="197" customFormat="1" ht="15.9" x14ac:dyDescent="0.45">
      <c r="A10" s="446" t="s">
        <v>33</v>
      </c>
      <c r="B10" s="448" t="s">
        <v>75</v>
      </c>
      <c r="C10" s="448"/>
      <c r="D10" s="448"/>
      <c r="E10" s="448"/>
      <c r="F10" s="449" t="s">
        <v>76</v>
      </c>
    </row>
    <row r="11" spans="1:13" s="197" customFormat="1" ht="46.5" customHeight="1" x14ac:dyDescent="0.45">
      <c r="A11" s="447"/>
      <c r="B11" s="202" t="s">
        <v>151</v>
      </c>
      <c r="C11" s="202" t="s">
        <v>77</v>
      </c>
      <c r="D11" s="202" t="s">
        <v>74</v>
      </c>
      <c r="E11" s="202" t="s">
        <v>78</v>
      </c>
      <c r="F11" s="450"/>
    </row>
    <row r="12" spans="1:13" s="197" customFormat="1" ht="15.9" x14ac:dyDescent="0.45">
      <c r="A12" s="203" t="s">
        <v>175</v>
      </c>
      <c r="B12" s="204">
        <f>+BZA!E47</f>
        <v>312.01097974817822</v>
      </c>
      <c r="C12" s="204">
        <f>+BZA!F47</f>
        <v>16960.883626746428</v>
      </c>
      <c r="D12" s="204">
        <f>+BZA!G47</f>
        <v>-3995.3704334666209</v>
      </c>
      <c r="E12" s="204">
        <f>+BZA!H47</f>
        <v>12832.809160305344</v>
      </c>
      <c r="F12" s="204">
        <f>+SUM(B12:E12)</f>
        <v>26110.333333333328</v>
      </c>
      <c r="G12" s="199"/>
      <c r="H12" s="199"/>
      <c r="I12" s="199"/>
      <c r="J12" s="199"/>
      <c r="K12" s="199"/>
      <c r="L12" s="199"/>
      <c r="M12" s="199"/>
    </row>
    <row r="13" spans="1:13" s="197" customFormat="1" ht="15.9" x14ac:dyDescent="0.45">
      <c r="A13" s="203" t="s">
        <v>177</v>
      </c>
      <c r="B13" s="204">
        <v>0</v>
      </c>
      <c r="C13" s="204">
        <v>0</v>
      </c>
      <c r="D13" s="204">
        <v>0</v>
      </c>
      <c r="E13" s="204">
        <v>0</v>
      </c>
      <c r="F13" s="204">
        <f>+SUM(B13:E13)</f>
        <v>0</v>
      </c>
      <c r="G13" s="199"/>
      <c r="H13" s="199"/>
      <c r="I13" s="199"/>
      <c r="J13" s="199"/>
      <c r="K13" s="199"/>
      <c r="L13" s="199"/>
      <c r="M13" s="199"/>
    </row>
    <row r="14" spans="1:13" s="197" customFormat="1" ht="15.9" x14ac:dyDescent="0.45">
      <c r="A14" s="203" t="s">
        <v>178</v>
      </c>
      <c r="B14" s="204">
        <f>1100*SCHLÜSSEL!B14</f>
        <v>41.50803541318944</v>
      </c>
      <c r="C14" s="204">
        <f>1100*SCHLÜSSEL!G14</f>
        <v>696.56620833741999</v>
      </c>
      <c r="D14" s="204">
        <f>1100*SCHLÜSSEL!H14</f>
        <v>7.3880123986696065</v>
      </c>
      <c r="E14" s="204">
        <f>1100*SCHLÜSSEL!I14</f>
        <v>354.53774385072097</v>
      </c>
      <c r="F14" s="204">
        <f>+SUM(B14:E14)</f>
        <v>1100</v>
      </c>
      <c r="G14" s="199" t="s">
        <v>382</v>
      </c>
      <c r="H14" s="199"/>
      <c r="I14" s="199"/>
      <c r="J14" s="199"/>
      <c r="K14" s="199"/>
      <c r="L14" s="199"/>
      <c r="M14" s="199"/>
    </row>
    <row r="15" spans="1:13" s="201" customFormat="1" ht="15.9" x14ac:dyDescent="0.45">
      <c r="A15" s="205" t="s">
        <v>179</v>
      </c>
      <c r="B15" s="206">
        <f>+B12-B13-B14</f>
        <v>270.5029443349888</v>
      </c>
      <c r="C15" s="206">
        <f>+C12-C13-C14</f>
        <v>16264.317418409009</v>
      </c>
      <c r="D15" s="206">
        <f>+D12-D13-D14</f>
        <v>-4002.7584458652905</v>
      </c>
      <c r="E15" s="206">
        <f>+E12-E13-E14</f>
        <v>12478.271416454623</v>
      </c>
      <c r="F15" s="206">
        <f>+SUM(B15:E15)</f>
        <v>25010.333333333328</v>
      </c>
      <c r="G15" s="200"/>
      <c r="H15" s="200"/>
      <c r="I15" s="200"/>
      <c r="J15" s="200"/>
      <c r="K15" s="200"/>
      <c r="L15" s="200"/>
      <c r="M15" s="200"/>
    </row>
    <row r="16" spans="1:13" s="197" customFormat="1" ht="15.9" x14ac:dyDescent="0.45">
      <c r="A16" s="198"/>
      <c r="B16" s="199"/>
      <c r="C16" s="199"/>
      <c r="D16" s="199"/>
      <c r="E16" s="199"/>
      <c r="F16" s="199"/>
      <c r="G16" s="199"/>
      <c r="H16" s="199"/>
      <c r="I16" s="199"/>
      <c r="J16" s="199"/>
      <c r="K16" s="199"/>
      <c r="L16" s="199"/>
      <c r="M16" s="199"/>
    </row>
    <row r="17" spans="1:13" s="197" customFormat="1" ht="15.9" x14ac:dyDescent="0.45">
      <c r="A17" s="304" t="s">
        <v>180</v>
      </c>
      <c r="B17" s="199"/>
      <c r="C17" s="199"/>
      <c r="D17" s="199"/>
      <c r="E17" s="199"/>
      <c r="F17" s="199"/>
      <c r="G17" s="199"/>
      <c r="H17" s="199"/>
      <c r="I17" s="199"/>
      <c r="J17" s="199"/>
      <c r="K17" s="199"/>
      <c r="L17" s="199"/>
      <c r="M17" s="199"/>
    </row>
    <row r="18" spans="1:13" s="197" customFormat="1" ht="132" customHeight="1" x14ac:dyDescent="0.45">
      <c r="A18" s="344" t="s">
        <v>385</v>
      </c>
      <c r="B18" s="345"/>
      <c r="C18" s="345"/>
      <c r="D18" s="345"/>
      <c r="E18" s="345"/>
      <c r="F18" s="345"/>
      <c r="G18" s="346"/>
      <c r="H18" s="199"/>
      <c r="I18" s="199"/>
      <c r="J18" s="199"/>
      <c r="K18" s="199"/>
      <c r="L18" s="199"/>
      <c r="M18" s="199"/>
    </row>
    <row r="19" spans="1:13" s="197" customFormat="1" ht="15.9" x14ac:dyDescent="0.45">
      <c r="A19" s="28"/>
      <c r="B19"/>
      <c r="C19"/>
      <c r="D19"/>
      <c r="E19"/>
      <c r="F19"/>
      <c r="G19" s="199"/>
      <c r="H19" s="199"/>
      <c r="I19" s="199"/>
      <c r="J19" s="199"/>
      <c r="K19" s="199"/>
      <c r="L19" s="199"/>
      <c r="M19" s="199"/>
    </row>
    <row r="20" spans="1:13" s="197" customFormat="1" ht="15.9" x14ac:dyDescent="0.45">
      <c r="A20" s="446" t="s">
        <v>33</v>
      </c>
      <c r="B20" s="448" t="s">
        <v>75</v>
      </c>
      <c r="C20" s="448"/>
      <c r="D20" s="448"/>
      <c r="E20" s="448"/>
      <c r="F20" s="449" t="s">
        <v>76</v>
      </c>
      <c r="G20" s="199"/>
      <c r="H20" s="199"/>
      <c r="I20" s="199"/>
      <c r="J20" s="199"/>
      <c r="K20" s="199"/>
      <c r="L20" s="199"/>
      <c r="M20" s="199"/>
    </row>
    <row r="21" spans="1:13" s="197" customFormat="1" ht="42.45" x14ac:dyDescent="0.45">
      <c r="A21" s="447"/>
      <c r="B21" s="202" t="s">
        <v>151</v>
      </c>
      <c r="C21" s="202" t="s">
        <v>77</v>
      </c>
      <c r="D21" s="202" t="s">
        <v>74</v>
      </c>
      <c r="E21" s="202" t="s">
        <v>78</v>
      </c>
      <c r="F21" s="450"/>
      <c r="G21" s="199"/>
      <c r="H21" s="199"/>
      <c r="I21" s="199"/>
      <c r="J21" s="199"/>
      <c r="K21" s="199"/>
      <c r="L21" s="199"/>
      <c r="M21" s="199"/>
    </row>
    <row r="22" spans="1:13" s="197" customFormat="1" ht="15.9" x14ac:dyDescent="0.45">
      <c r="A22" s="203" t="s">
        <v>181</v>
      </c>
      <c r="B22" s="204">
        <f>+BZA!E38</f>
        <v>558.50291581916724</v>
      </c>
      <c r="C22" s="204">
        <f>+BZA!F38</f>
        <v>15703.452960934877</v>
      </c>
      <c r="D22" s="204">
        <f>+BZA!G38</f>
        <v>6068.9941232459569</v>
      </c>
      <c r="E22" s="204">
        <f>+BZA!H38</f>
        <v>7520</v>
      </c>
      <c r="F22" s="204">
        <f>+SUM(B22:E22)</f>
        <v>29850.95</v>
      </c>
      <c r="G22" s="199"/>
      <c r="H22" s="199"/>
      <c r="I22" s="199"/>
      <c r="J22" s="199"/>
      <c r="K22" s="199"/>
      <c r="L22" s="199"/>
      <c r="M22" s="199"/>
    </row>
    <row r="23" spans="1:13" s="197" customFormat="1" ht="15.9" x14ac:dyDescent="0.45">
      <c r="A23" s="203" t="s">
        <v>182</v>
      </c>
      <c r="B23" s="204">
        <f>+BZA!E40</f>
        <v>382.41176470588243</v>
      </c>
      <c r="C23" s="204">
        <f>+BZA!F40</f>
        <v>1668.7058823529412</v>
      </c>
      <c r="D23" s="204">
        <f>+BZA!G40</f>
        <v>312.88235294117652</v>
      </c>
      <c r="E23" s="204">
        <f>+BZA!H40</f>
        <v>0</v>
      </c>
      <c r="F23" s="204">
        <f>+SUM(B23:E23)</f>
        <v>2364</v>
      </c>
      <c r="G23" s="199"/>
      <c r="H23" s="199"/>
      <c r="I23" s="199"/>
      <c r="J23" s="199"/>
      <c r="K23" s="199"/>
      <c r="L23" s="199"/>
      <c r="M23" s="199"/>
    </row>
    <row r="24" spans="1:13" s="197" customFormat="1" ht="15.9" x14ac:dyDescent="0.45">
      <c r="A24" s="203" t="s">
        <v>183</v>
      </c>
      <c r="B24" s="204">
        <f>+BZA!E42</f>
        <v>0</v>
      </c>
      <c r="C24" s="204">
        <f>+BZA!F42</f>
        <v>1110</v>
      </c>
      <c r="D24" s="204">
        <f>+BZA!G42</f>
        <v>148</v>
      </c>
      <c r="E24" s="204">
        <f>+BZA!H42</f>
        <v>222</v>
      </c>
      <c r="F24" s="204">
        <f>+SUM(B24:E24)</f>
        <v>1480</v>
      </c>
      <c r="G24" s="199"/>
      <c r="H24" s="199"/>
      <c r="I24" s="199"/>
      <c r="J24" s="199"/>
      <c r="K24" s="199"/>
      <c r="L24" s="199"/>
      <c r="M24" s="199"/>
    </row>
    <row r="25" spans="1:13" s="197" customFormat="1" ht="15.9" x14ac:dyDescent="0.45">
      <c r="A25" s="205" t="s">
        <v>180</v>
      </c>
      <c r="B25" s="206">
        <f>+B22+B23+B24</f>
        <v>940.91468052504968</v>
      </c>
      <c r="C25" s="206">
        <f>+C22+C23+C24</f>
        <v>18482.15884328782</v>
      </c>
      <c r="D25" s="206">
        <f>+D22+D23+D24</f>
        <v>6529.8764761871334</v>
      </c>
      <c r="E25" s="206">
        <f>+E22+E23+E24</f>
        <v>7742</v>
      </c>
      <c r="F25" s="206">
        <f>+SUM(B25:E25)</f>
        <v>33694.950000000004</v>
      </c>
      <c r="G25" s="199"/>
      <c r="H25" s="199"/>
      <c r="I25" s="199"/>
      <c r="J25" s="199"/>
      <c r="K25" s="199"/>
      <c r="L25" s="199"/>
      <c r="M25" s="199"/>
    </row>
    <row r="26" spans="1:13" s="197" customFormat="1" ht="15.9" x14ac:dyDescent="0.45">
      <c r="A26" s="198"/>
      <c r="B26" s="199"/>
      <c r="C26" s="199"/>
      <c r="D26" s="199"/>
      <c r="E26" s="199"/>
      <c r="F26" s="199"/>
      <c r="G26" s="199"/>
      <c r="H26" s="199"/>
      <c r="I26" s="199"/>
      <c r="J26" s="199"/>
      <c r="K26" s="199"/>
      <c r="L26" s="199"/>
      <c r="M26" s="199"/>
    </row>
    <row r="27" spans="1:13" s="197" customFormat="1" ht="15.9" x14ac:dyDescent="0.45">
      <c r="A27" s="304" t="s">
        <v>184</v>
      </c>
      <c r="B27" s="199"/>
      <c r="C27" s="199"/>
      <c r="D27" s="199"/>
      <c r="E27" s="199"/>
      <c r="F27" s="199"/>
      <c r="G27" s="199"/>
      <c r="H27" s="199"/>
      <c r="I27" s="199"/>
      <c r="J27" s="199"/>
      <c r="K27" s="199"/>
      <c r="L27" s="199"/>
      <c r="M27" s="199"/>
    </row>
    <row r="28" spans="1:13" s="197" customFormat="1" ht="108" customHeight="1" x14ac:dyDescent="0.45">
      <c r="A28" s="344" t="s">
        <v>386</v>
      </c>
      <c r="B28" s="345"/>
      <c r="C28" s="345"/>
      <c r="D28" s="345"/>
      <c r="E28" s="345"/>
      <c r="F28" s="345"/>
      <c r="G28" s="346"/>
      <c r="H28" s="199"/>
      <c r="I28" s="199"/>
      <c r="J28" s="199"/>
      <c r="K28" s="199"/>
      <c r="L28" s="199"/>
      <c r="M28" s="199"/>
    </row>
    <row r="29" spans="1:13" s="197" customFormat="1" ht="15.9" x14ac:dyDescent="0.45">
      <c r="A29" s="28"/>
      <c r="B29"/>
      <c r="C29"/>
      <c r="D29"/>
      <c r="E29"/>
      <c r="F29"/>
      <c r="G29" s="199"/>
      <c r="H29" s="199"/>
      <c r="I29" s="199"/>
      <c r="J29" s="199"/>
      <c r="K29" s="199"/>
      <c r="L29" s="199"/>
      <c r="M29" s="199"/>
    </row>
    <row r="30" spans="1:13" s="197" customFormat="1" ht="15.9" x14ac:dyDescent="0.45">
      <c r="A30" s="446" t="s">
        <v>33</v>
      </c>
      <c r="B30" s="448" t="s">
        <v>75</v>
      </c>
      <c r="C30" s="448"/>
      <c r="D30" s="448"/>
      <c r="E30" s="448"/>
      <c r="F30" s="449" t="s">
        <v>76</v>
      </c>
      <c r="G30" s="199"/>
      <c r="H30" s="199"/>
      <c r="I30" s="199"/>
      <c r="J30" s="199"/>
      <c r="K30" s="199"/>
      <c r="L30" s="199"/>
      <c r="M30" s="199"/>
    </row>
    <row r="31" spans="1:13" s="197" customFormat="1" ht="42.45" x14ac:dyDescent="0.45">
      <c r="A31" s="447"/>
      <c r="B31" s="202" t="s">
        <v>151</v>
      </c>
      <c r="C31" s="202" t="s">
        <v>77</v>
      </c>
      <c r="D31" s="202" t="s">
        <v>74</v>
      </c>
      <c r="E31" s="202" t="s">
        <v>78</v>
      </c>
      <c r="F31" s="450"/>
      <c r="G31" s="199"/>
      <c r="H31" s="199"/>
      <c r="I31" s="199"/>
      <c r="J31" s="199"/>
      <c r="K31" s="199"/>
      <c r="L31" s="199"/>
      <c r="M31" s="199"/>
    </row>
    <row r="32" spans="1:13" s="197" customFormat="1" ht="15.9" x14ac:dyDescent="0.45">
      <c r="A32" s="203" t="s">
        <v>52</v>
      </c>
      <c r="B32" s="204">
        <f>+BZA!E20</f>
        <v>2605</v>
      </c>
      <c r="C32" s="204">
        <f>+BZA!F20</f>
        <v>50046.7</v>
      </c>
      <c r="D32" s="204">
        <f>+BZA!G20</f>
        <v>6433.25</v>
      </c>
      <c r="E32" s="204">
        <f>+BZA!H20</f>
        <v>25000</v>
      </c>
      <c r="F32" s="204">
        <f>+SUM(B32:E32)</f>
        <v>84084.95</v>
      </c>
      <c r="G32" s="199"/>
      <c r="H32" s="199"/>
      <c r="I32" s="199"/>
      <c r="J32" s="199"/>
      <c r="K32" s="199"/>
      <c r="L32" s="199"/>
      <c r="M32" s="199"/>
    </row>
    <row r="33" spans="1:13" s="197" customFormat="1" ht="15.9" x14ac:dyDescent="0.45">
      <c r="A33" s="203" t="s">
        <v>185</v>
      </c>
      <c r="B33" s="204">
        <f>+B25</f>
        <v>940.91468052504968</v>
      </c>
      <c r="C33" s="204">
        <f>+C25</f>
        <v>18482.15884328782</v>
      </c>
      <c r="D33" s="204">
        <f>+D25</f>
        <v>6529.8764761871334</v>
      </c>
      <c r="E33" s="204">
        <f>+E25</f>
        <v>7742</v>
      </c>
      <c r="F33" s="204">
        <f>+SUM(B33:E33)</f>
        <v>33694.950000000004</v>
      </c>
      <c r="G33" s="199"/>
      <c r="H33" s="199"/>
      <c r="I33" s="199"/>
      <c r="J33" s="199"/>
      <c r="K33" s="199"/>
      <c r="L33" s="199"/>
      <c r="M33" s="199"/>
    </row>
    <row r="34" spans="1:13" s="197" customFormat="1" ht="15.9" x14ac:dyDescent="0.45">
      <c r="A34" s="205" t="s">
        <v>184</v>
      </c>
      <c r="B34" s="206">
        <f>+B32-B33</f>
        <v>1664.0853194749502</v>
      </c>
      <c r="C34" s="206">
        <f>+C32-C33</f>
        <v>31564.541156712177</v>
      </c>
      <c r="D34" s="206">
        <f>+D32-D33</f>
        <v>-96.626476187133449</v>
      </c>
      <c r="E34" s="206">
        <f>+E32-E33</f>
        <v>17258</v>
      </c>
      <c r="F34" s="206">
        <f>+SUM(B34:E34)</f>
        <v>50389.999999999993</v>
      </c>
      <c r="G34" s="199"/>
      <c r="H34" s="199"/>
      <c r="I34" s="199"/>
      <c r="J34" s="199"/>
      <c r="K34" s="199"/>
      <c r="L34" s="199"/>
      <c r="M34" s="199"/>
    </row>
    <row r="35" spans="1:13" s="197" customFormat="1" ht="15.9" x14ac:dyDescent="0.45">
      <c r="A35" s="198"/>
      <c r="B35" s="199"/>
      <c r="C35" s="199"/>
      <c r="D35" s="199"/>
      <c r="E35" s="199"/>
      <c r="F35" s="199"/>
      <c r="G35" s="199"/>
      <c r="H35" s="199"/>
      <c r="I35" s="199"/>
      <c r="J35" s="199"/>
      <c r="K35" s="199"/>
      <c r="L35" s="199"/>
      <c r="M35" s="199"/>
    </row>
    <row r="36" spans="1:13" s="197" customFormat="1" ht="15.9" x14ac:dyDescent="0.45">
      <c r="A36" s="304" t="s">
        <v>186</v>
      </c>
      <c r="B36" s="199"/>
      <c r="C36" s="199"/>
      <c r="D36" s="199"/>
      <c r="E36" s="199"/>
      <c r="F36" s="199"/>
      <c r="G36" s="199"/>
      <c r="H36" s="199"/>
      <c r="I36" s="199"/>
      <c r="J36" s="199"/>
      <c r="K36" s="199"/>
      <c r="L36" s="199"/>
      <c r="M36" s="199"/>
    </row>
    <row r="37" spans="1:13" s="197" customFormat="1" ht="138" customHeight="1" x14ac:dyDescent="0.45">
      <c r="A37" s="344" t="s">
        <v>387</v>
      </c>
      <c r="B37" s="345"/>
      <c r="C37" s="345"/>
      <c r="D37" s="345"/>
      <c r="E37" s="345"/>
      <c r="F37" s="345"/>
      <c r="G37" s="346"/>
      <c r="H37" s="199"/>
      <c r="I37" s="199"/>
      <c r="J37" s="199"/>
      <c r="K37" s="199"/>
      <c r="L37" s="199"/>
      <c r="M37" s="199"/>
    </row>
    <row r="38" spans="1:13" s="197" customFormat="1" ht="15.9" x14ac:dyDescent="0.45">
      <c r="A38" s="28"/>
      <c r="B38"/>
      <c r="C38"/>
      <c r="D38"/>
      <c r="E38"/>
      <c r="F38"/>
      <c r="G38" s="199"/>
      <c r="H38" s="199"/>
      <c r="I38" s="199"/>
      <c r="J38" s="199"/>
      <c r="K38" s="199"/>
      <c r="L38" s="199"/>
      <c r="M38" s="199"/>
    </row>
    <row r="39" spans="1:13" s="197" customFormat="1" ht="15.9" x14ac:dyDescent="0.45">
      <c r="A39" s="446" t="s">
        <v>33</v>
      </c>
      <c r="B39" s="448" t="s">
        <v>75</v>
      </c>
      <c r="C39" s="448"/>
      <c r="D39" s="448"/>
      <c r="E39" s="448"/>
      <c r="F39" s="449" t="s">
        <v>76</v>
      </c>
      <c r="G39" s="199"/>
      <c r="H39" s="199"/>
      <c r="I39" s="199"/>
      <c r="J39" s="199"/>
      <c r="K39" s="199"/>
      <c r="L39" s="199"/>
      <c r="M39" s="199"/>
    </row>
    <row r="40" spans="1:13" s="197" customFormat="1" ht="42.45" x14ac:dyDescent="0.45">
      <c r="A40" s="447"/>
      <c r="B40" s="202" t="s">
        <v>151</v>
      </c>
      <c r="C40" s="202" t="s">
        <v>77</v>
      </c>
      <c r="D40" s="202" t="s">
        <v>74</v>
      </c>
      <c r="E40" s="202" t="s">
        <v>78</v>
      </c>
      <c r="F40" s="450"/>
      <c r="G40" s="199"/>
      <c r="H40" s="199"/>
      <c r="I40" s="199"/>
      <c r="J40" s="199"/>
      <c r="K40" s="199"/>
      <c r="L40" s="199"/>
      <c r="M40" s="199"/>
    </row>
    <row r="41" spans="1:13" s="197" customFormat="1" ht="15.9" x14ac:dyDescent="0.45">
      <c r="A41" s="203" t="s">
        <v>187</v>
      </c>
      <c r="B41" s="204">
        <f>+BZA!E40</f>
        <v>382.41176470588243</v>
      </c>
      <c r="C41" s="204">
        <f>+BZA!F40</f>
        <v>1668.7058823529412</v>
      </c>
      <c r="D41" s="204">
        <f>+BZA!G40</f>
        <v>312.88235294117652</v>
      </c>
      <c r="E41" s="204">
        <f>+BZA!H40</f>
        <v>0</v>
      </c>
      <c r="F41" s="204">
        <f t="shared" ref="F41:F47" si="0">+SUM(B41:E41)</f>
        <v>2364</v>
      </c>
      <c r="G41" s="199"/>
      <c r="H41" s="199"/>
      <c r="I41" s="199"/>
      <c r="J41" s="199"/>
      <c r="K41" s="199"/>
      <c r="L41" s="199"/>
      <c r="M41" s="199"/>
    </row>
    <row r="42" spans="1:13" s="197" customFormat="1" ht="15.9" x14ac:dyDescent="0.45">
      <c r="A42" s="203" t="s">
        <v>188</v>
      </c>
      <c r="B42" s="204">
        <v>0</v>
      </c>
      <c r="C42" s="204">
        <v>0</v>
      </c>
      <c r="D42" s="204">
        <v>0</v>
      </c>
      <c r="E42" s="204">
        <v>0</v>
      </c>
      <c r="F42" s="204">
        <f t="shared" si="0"/>
        <v>0</v>
      </c>
      <c r="G42" s="199"/>
      <c r="H42" s="199"/>
      <c r="I42" s="199"/>
      <c r="J42" s="199"/>
      <c r="K42" s="199"/>
      <c r="L42" s="199"/>
      <c r="M42" s="199"/>
    </row>
    <row r="43" spans="1:13" s="197" customFormat="1" ht="15.9" x14ac:dyDescent="0.45">
      <c r="A43" s="203" t="s">
        <v>189</v>
      </c>
      <c r="B43" s="204">
        <f>+BZA!E41</f>
        <v>1019.1197478991598</v>
      </c>
      <c r="C43" s="204">
        <f>+BZA!F41</f>
        <v>4892.1217626381194</v>
      </c>
      <c r="D43" s="204">
        <f>+BZA!G41</f>
        <v>888.42515612938746</v>
      </c>
      <c r="E43" s="204">
        <f>+BZA!H41</f>
        <v>0</v>
      </c>
      <c r="F43" s="204">
        <f t="shared" si="0"/>
        <v>6799.666666666667</v>
      </c>
      <c r="G43" s="199"/>
      <c r="H43" s="199"/>
      <c r="I43" s="199"/>
      <c r="J43" s="199"/>
      <c r="K43" s="199"/>
      <c r="L43" s="199"/>
      <c r="M43" s="199"/>
    </row>
    <row r="44" spans="1:13" s="197" customFormat="1" ht="15.9" x14ac:dyDescent="0.45">
      <c r="A44" s="203" t="s">
        <v>190</v>
      </c>
      <c r="B44" s="204">
        <f>+BZA!E42</f>
        <v>0</v>
      </c>
      <c r="C44" s="204">
        <f>+BZA!F42</f>
        <v>1110</v>
      </c>
      <c r="D44" s="204">
        <f>+BZA!G42</f>
        <v>148</v>
      </c>
      <c r="E44" s="204">
        <f>+BZA!H42</f>
        <v>222</v>
      </c>
      <c r="F44" s="204">
        <f t="shared" si="0"/>
        <v>1480</v>
      </c>
      <c r="G44" s="199"/>
      <c r="H44" s="199"/>
      <c r="I44" s="199"/>
      <c r="J44" s="199"/>
      <c r="K44" s="199"/>
      <c r="L44" s="199"/>
      <c r="M44" s="199"/>
    </row>
    <row r="45" spans="1:13" s="197" customFormat="1" ht="15.9" x14ac:dyDescent="0.45">
      <c r="A45" s="203" t="s">
        <v>192</v>
      </c>
      <c r="B45" s="204">
        <f>+BZA!E48</f>
        <v>359.61163227016885</v>
      </c>
      <c r="C45" s="204">
        <f>+BZA!F48</f>
        <v>9989.2120075046914</v>
      </c>
      <c r="D45" s="204">
        <f>+BZA!G48</f>
        <v>1997.842401500938</v>
      </c>
      <c r="E45" s="204">
        <f>+BZA!H48</f>
        <v>8950.3339587242026</v>
      </c>
      <c r="F45" s="204">
        <f t="shared" si="0"/>
        <v>21297</v>
      </c>
      <c r="G45" s="199"/>
      <c r="H45" s="199"/>
      <c r="I45" s="199"/>
      <c r="J45" s="199"/>
      <c r="K45" s="199"/>
      <c r="L45" s="199"/>
      <c r="M45" s="199"/>
    </row>
    <row r="46" spans="1:13" s="197" customFormat="1" ht="15.9" x14ac:dyDescent="0.45">
      <c r="A46" s="203" t="s">
        <v>191</v>
      </c>
      <c r="B46" s="204">
        <f>+BZA!E52</f>
        <v>607.82790441176485</v>
      </c>
      <c r="C46" s="204">
        <f>+BZA!F52</f>
        <v>2279.3327421659383</v>
      </c>
      <c r="D46" s="204">
        <f>+BZA!G52</f>
        <v>528.84518675563038</v>
      </c>
      <c r="E46" s="204">
        <f>+BZA!H52</f>
        <v>0</v>
      </c>
      <c r="F46" s="204">
        <f t="shared" si="0"/>
        <v>3416.0058333333336</v>
      </c>
      <c r="G46" s="112"/>
      <c r="H46" s="112"/>
      <c r="I46" s="199"/>
      <c r="J46" s="199"/>
      <c r="K46" s="199"/>
      <c r="L46" s="199"/>
      <c r="M46" s="199"/>
    </row>
    <row r="47" spans="1:13" s="197" customFormat="1" ht="15.9" x14ac:dyDescent="0.45">
      <c r="A47" s="205" t="s">
        <v>180</v>
      </c>
      <c r="B47" s="206">
        <f>SUM(B41:B46)</f>
        <v>2368.9710492869763</v>
      </c>
      <c r="C47" s="206">
        <f>SUM(C41:C46)</f>
        <v>19939.372394661692</v>
      </c>
      <c r="D47" s="206">
        <f>SUM(D41:D46)</f>
        <v>3875.9950973271325</v>
      </c>
      <c r="E47" s="206">
        <f>SUM(E41:E46)</f>
        <v>9172.3339587242026</v>
      </c>
      <c r="F47" s="206">
        <f t="shared" si="0"/>
        <v>35356.672500000001</v>
      </c>
      <c r="G47" s="112"/>
      <c r="H47" s="112"/>
      <c r="I47" s="199"/>
      <c r="J47" s="199"/>
      <c r="K47" s="199"/>
      <c r="L47" s="199"/>
      <c r="M47" s="199"/>
    </row>
    <row r="48" spans="1:13" x14ac:dyDescent="0.4">
      <c r="B48" s="112"/>
      <c r="C48" s="112"/>
      <c r="D48" s="112"/>
      <c r="E48" s="112"/>
      <c r="F48" s="112"/>
      <c r="G48" s="112"/>
      <c r="H48" s="112"/>
      <c r="I48" s="112"/>
      <c r="J48" s="112"/>
      <c r="K48" s="112"/>
      <c r="L48" s="112"/>
      <c r="M48" s="112"/>
    </row>
    <row r="49" spans="1:13" ht="15.9" x14ac:dyDescent="0.45">
      <c r="A49" s="304" t="s">
        <v>193</v>
      </c>
      <c r="B49" s="112"/>
      <c r="C49" s="112"/>
      <c r="D49" s="112"/>
      <c r="E49" s="112"/>
      <c r="F49" s="112"/>
      <c r="G49" s="112"/>
      <c r="H49" s="112"/>
      <c r="I49" s="112"/>
      <c r="J49" s="112"/>
      <c r="K49" s="112"/>
      <c r="L49" s="112"/>
      <c r="M49" s="112"/>
    </row>
    <row r="50" spans="1:13" ht="80.25" customHeight="1" x14ac:dyDescent="0.4">
      <c r="A50" s="344" t="s">
        <v>388</v>
      </c>
      <c r="B50" s="345"/>
      <c r="C50" s="345"/>
      <c r="D50" s="345"/>
      <c r="E50" s="345"/>
      <c r="F50" s="345"/>
      <c r="G50" s="346"/>
      <c r="H50" s="112"/>
      <c r="I50" s="112"/>
      <c r="J50" s="112"/>
      <c r="K50" s="112"/>
      <c r="L50" s="112"/>
      <c r="M50" s="112"/>
    </row>
    <row r="51" spans="1:13" ht="15" customHeight="1" x14ac:dyDescent="0.4">
      <c r="A51" s="28"/>
      <c r="G51" s="112"/>
      <c r="H51" s="112"/>
      <c r="I51" s="112"/>
      <c r="J51" s="112"/>
      <c r="K51" s="112"/>
      <c r="L51" s="112"/>
      <c r="M51" s="112"/>
    </row>
    <row r="52" spans="1:13" x14ac:dyDescent="0.4">
      <c r="A52" s="446" t="s">
        <v>33</v>
      </c>
      <c r="B52" s="448" t="s">
        <v>75</v>
      </c>
      <c r="C52" s="448"/>
      <c r="D52" s="448"/>
      <c r="E52" s="448"/>
      <c r="F52" s="449" t="s">
        <v>76</v>
      </c>
      <c r="G52" s="112"/>
      <c r="H52" s="112"/>
      <c r="I52" s="112"/>
      <c r="J52" s="112"/>
      <c r="K52" s="112"/>
      <c r="L52" s="112"/>
      <c r="M52" s="112"/>
    </row>
    <row r="53" spans="1:13" ht="42.45" x14ac:dyDescent="0.4">
      <c r="A53" s="447"/>
      <c r="B53" s="202" t="s">
        <v>151</v>
      </c>
      <c r="C53" s="202" t="s">
        <v>77</v>
      </c>
      <c r="D53" s="202" t="s">
        <v>74</v>
      </c>
      <c r="E53" s="202" t="s">
        <v>78</v>
      </c>
      <c r="F53" s="450"/>
      <c r="G53" s="112"/>
      <c r="H53" s="112"/>
      <c r="I53" s="112"/>
      <c r="J53" s="112"/>
      <c r="K53" s="112"/>
      <c r="L53" s="112"/>
      <c r="M53" s="112"/>
    </row>
    <row r="54" spans="1:13" x14ac:dyDescent="0.4">
      <c r="A54" s="203" t="s">
        <v>194</v>
      </c>
      <c r="B54" s="204">
        <f>+BZA!E56</f>
        <v>-2560.9859870166456</v>
      </c>
      <c r="C54" s="204">
        <f>+BZA!F56</f>
        <v>-2924.7224623771472</v>
      </c>
      <c r="D54" s="204">
        <f>+BZA!G56</f>
        <v>-8473.8142521873524</v>
      </c>
      <c r="E54" s="204">
        <f>+BZA!H56</f>
        <v>3882.4752015811409</v>
      </c>
      <c r="F54" s="204">
        <f>+SUM(B54:E54)</f>
        <v>-10077.047500000004</v>
      </c>
      <c r="G54" s="112"/>
      <c r="H54" s="112"/>
      <c r="I54" s="112"/>
      <c r="J54" s="112"/>
      <c r="K54" s="112"/>
      <c r="L54" s="112"/>
      <c r="M54" s="112"/>
    </row>
    <row r="55" spans="1:13" x14ac:dyDescent="0.4">
      <c r="A55" s="203" t="s">
        <v>192</v>
      </c>
      <c r="B55" s="204">
        <f>+BZA!E48</f>
        <v>359.61163227016885</v>
      </c>
      <c r="C55" s="204">
        <f>+BZA!F48</f>
        <v>9989.2120075046914</v>
      </c>
      <c r="D55" s="204">
        <f>+BZA!G48</f>
        <v>1997.842401500938</v>
      </c>
      <c r="E55" s="204">
        <f>+BZA!H48</f>
        <v>8950.3339587242026</v>
      </c>
      <c r="F55" s="204">
        <f>+SUM(B55:E55)</f>
        <v>21297</v>
      </c>
      <c r="G55" s="112"/>
      <c r="H55" s="112"/>
      <c r="I55" s="112"/>
      <c r="J55" s="112"/>
      <c r="K55" s="112"/>
      <c r="L55" s="112"/>
      <c r="M55" s="112"/>
    </row>
    <row r="56" spans="1:13" x14ac:dyDescent="0.4">
      <c r="A56" s="203" t="s">
        <v>195</v>
      </c>
      <c r="B56" s="204">
        <f>+B54+B55</f>
        <v>-2201.3743547464769</v>
      </c>
      <c r="C56" s="204">
        <f>+C54+C55</f>
        <v>7064.4895451275443</v>
      </c>
      <c r="D56" s="204">
        <f>+D54+D55</f>
        <v>-6475.9718506864147</v>
      </c>
      <c r="E56" s="204">
        <f>+E54+E55</f>
        <v>12832.809160305344</v>
      </c>
      <c r="F56" s="204">
        <f>+SUM(B56:E56)</f>
        <v>11219.952499999996</v>
      </c>
      <c r="G56" s="112"/>
      <c r="H56" s="112"/>
      <c r="I56" s="112"/>
      <c r="J56" s="112"/>
      <c r="K56" s="112"/>
      <c r="L56" s="112"/>
      <c r="M56" s="112"/>
    </row>
    <row r="57" spans="1:13" x14ac:dyDescent="0.4">
      <c r="A57" s="203" t="s">
        <v>196</v>
      </c>
      <c r="B57" s="204">
        <f>+SCHLÜSSEL!B15</f>
        <v>45</v>
      </c>
      <c r="C57" s="204">
        <f>+SCHLÜSSEL!G15</f>
        <v>1250</v>
      </c>
      <c r="D57" s="204">
        <f>+SCHLÜSSEL!H15</f>
        <v>250</v>
      </c>
      <c r="E57" s="204">
        <f>+SCHLÜSSEL!I15</f>
        <v>1120</v>
      </c>
      <c r="F57" s="204">
        <f>+SUM(B57:E57)</f>
        <v>2665</v>
      </c>
      <c r="G57" s="112"/>
      <c r="H57" s="112"/>
      <c r="I57" s="112"/>
      <c r="J57" s="112"/>
      <c r="K57" s="112"/>
      <c r="L57" s="112"/>
      <c r="M57" s="112"/>
    </row>
    <row r="58" spans="1:13" x14ac:dyDescent="0.4">
      <c r="A58" s="205" t="s">
        <v>197</v>
      </c>
      <c r="B58" s="207">
        <f>+B56/B57</f>
        <v>-48.919430105477268</v>
      </c>
      <c r="C58" s="207">
        <f>+C56/C57</f>
        <v>5.6515916361020357</v>
      </c>
      <c r="D58" s="207">
        <f>+D56/D57</f>
        <v>-25.90388740274566</v>
      </c>
      <c r="E58" s="207">
        <f>+E56/E57</f>
        <v>11.457865321701199</v>
      </c>
      <c r="F58" s="207">
        <f>+F56/F57</f>
        <v>4.2101135084427748</v>
      </c>
      <c r="G58" s="112"/>
      <c r="H58" s="112"/>
      <c r="I58" s="112"/>
      <c r="J58" s="112"/>
      <c r="K58" s="112"/>
      <c r="L58" s="112"/>
      <c r="M58" s="112"/>
    </row>
    <row r="59" spans="1:13" x14ac:dyDescent="0.4">
      <c r="B59" s="112"/>
      <c r="C59" s="112"/>
      <c r="D59" s="112"/>
      <c r="E59" s="112"/>
      <c r="F59" s="112"/>
      <c r="G59" s="112"/>
      <c r="H59" s="112"/>
      <c r="I59" s="112"/>
      <c r="J59" s="112"/>
      <c r="K59" s="112"/>
      <c r="L59" s="112"/>
      <c r="M59" s="112"/>
    </row>
    <row r="60" spans="1:13" x14ac:dyDescent="0.4">
      <c r="A60" s="303" t="s">
        <v>198</v>
      </c>
      <c r="B60" s="112"/>
      <c r="C60" s="112"/>
      <c r="D60" s="112"/>
      <c r="E60" s="112"/>
      <c r="F60" s="112"/>
      <c r="G60" s="112"/>
      <c r="H60" s="112"/>
      <c r="I60" s="112"/>
      <c r="J60" s="112"/>
      <c r="K60" s="112"/>
      <c r="L60" s="112"/>
      <c r="M60" s="112"/>
    </row>
    <row r="61" spans="1:13" ht="111" customHeight="1" x14ac:dyDescent="0.4">
      <c r="A61" s="344" t="s">
        <v>389</v>
      </c>
      <c r="B61" s="345"/>
      <c r="C61" s="345"/>
      <c r="D61" s="345"/>
      <c r="E61" s="345"/>
      <c r="F61" s="345"/>
      <c r="G61" s="346"/>
      <c r="H61" s="112"/>
      <c r="I61" s="112"/>
      <c r="J61" s="112"/>
      <c r="K61" s="112"/>
      <c r="L61" s="112"/>
      <c r="M61" s="112"/>
    </row>
    <row r="62" spans="1:13" x14ac:dyDescent="0.4">
      <c r="A62" s="28"/>
      <c r="G62" s="112"/>
      <c r="H62" s="112"/>
      <c r="I62" s="112"/>
      <c r="J62" s="112"/>
      <c r="K62" s="112"/>
      <c r="L62" s="112"/>
      <c r="M62" s="112"/>
    </row>
    <row r="63" spans="1:13" x14ac:dyDescent="0.4">
      <c r="A63" s="446" t="s">
        <v>33</v>
      </c>
      <c r="B63" s="448" t="s">
        <v>75</v>
      </c>
      <c r="C63" s="448"/>
      <c r="D63" s="448"/>
      <c r="E63" s="448"/>
      <c r="F63" s="449" t="s">
        <v>76</v>
      </c>
      <c r="G63" s="112"/>
      <c r="H63" s="112"/>
      <c r="I63" s="112"/>
      <c r="J63" s="112"/>
      <c r="K63" s="112"/>
      <c r="L63" s="112"/>
      <c r="M63" s="112"/>
    </row>
    <row r="64" spans="1:13" ht="42.45" x14ac:dyDescent="0.4">
      <c r="A64" s="447"/>
      <c r="B64" s="202" t="s">
        <v>151</v>
      </c>
      <c r="C64" s="202" t="s">
        <v>77</v>
      </c>
      <c r="D64" s="202" t="s">
        <v>74</v>
      </c>
      <c r="E64" s="202" t="s">
        <v>78</v>
      </c>
      <c r="F64" s="450"/>
      <c r="G64" s="112"/>
      <c r="H64" s="112"/>
      <c r="I64" s="112"/>
      <c r="J64" s="112"/>
      <c r="K64" s="112"/>
      <c r="L64" s="112"/>
      <c r="M64" s="112"/>
    </row>
    <row r="65" spans="1:13" x14ac:dyDescent="0.4">
      <c r="A65" s="203" t="s">
        <v>200</v>
      </c>
      <c r="B65" s="204">
        <f>+BZA!E38+BZA!E45+BZA!E55</f>
        <v>5165.9859870166456</v>
      </c>
      <c r="C65" s="204">
        <f>+BZA!F38+BZA!F45+BZA!F55</f>
        <v>52971.422462377144</v>
      </c>
      <c r="D65" s="204">
        <f>+BZA!G38+BZA!G45+BZA!G55</f>
        <v>14907.064252187354</v>
      </c>
      <c r="E65" s="204">
        <f>+BZA!H38+BZA!H45+BZA!H55</f>
        <v>21117.524798418861</v>
      </c>
      <c r="F65" s="204">
        <f>+SUM(B65:E65)</f>
        <v>94161.997500000012</v>
      </c>
      <c r="G65" s="112"/>
      <c r="H65" s="112"/>
      <c r="I65" s="112"/>
      <c r="J65" s="112"/>
      <c r="K65" s="112"/>
      <c r="L65" s="112"/>
      <c r="M65" s="112"/>
    </row>
    <row r="66" spans="1:13" x14ac:dyDescent="0.4">
      <c r="A66" s="203" t="s">
        <v>201</v>
      </c>
      <c r="B66" s="204">
        <f>+BZA!E48+BZA!E50+BZA!E51+BZA!E52+BZA!E53+BZA!E54</f>
        <v>2872.9969667648238</v>
      </c>
      <c r="C66" s="204">
        <f>+BZA!F48+BZA!F50+BZA!F51+BZA!F52+BZA!F53+BZA!F54</f>
        <v>19885.606089123576</v>
      </c>
      <c r="D66" s="204">
        <f>+BZA!G48+BZA!G50+BZA!G51+BZA!G52+BZA!G53+BZA!G54</f>
        <v>4478.4438187207325</v>
      </c>
      <c r="E66" s="204">
        <f>+BZA!H48+BZA!H50+BZA!H51+BZA!H52+BZA!H53+BZA!H54</f>
        <v>8950.3339587242026</v>
      </c>
      <c r="F66" s="204">
        <f>+SUM(B66:E66)</f>
        <v>36187.380833333336</v>
      </c>
      <c r="G66" s="112"/>
      <c r="H66" s="112"/>
      <c r="I66" s="112"/>
      <c r="J66" s="112"/>
      <c r="K66" s="112"/>
      <c r="L66" s="112"/>
      <c r="M66" s="112"/>
    </row>
    <row r="67" spans="1:13" x14ac:dyDescent="0.4">
      <c r="A67" s="205" t="s">
        <v>199</v>
      </c>
      <c r="B67" s="207">
        <f>+B66/B65*100</f>
        <v>55.613719703951006</v>
      </c>
      <c r="C67" s="207">
        <f>+C66/C65*100</f>
        <v>37.540253149228327</v>
      </c>
      <c r="D67" s="207">
        <f>+D66/D65*100</f>
        <v>30.042426482891145</v>
      </c>
      <c r="E67" s="207">
        <f>+E66/E65*100</f>
        <v>42.383442397540563</v>
      </c>
      <c r="F67" s="207">
        <f>+F66/F65*100</f>
        <v>38.430982555710258</v>
      </c>
      <c r="G67" s="112"/>
      <c r="H67" s="112"/>
      <c r="I67" s="112"/>
      <c r="J67" s="112"/>
      <c r="K67" s="112"/>
      <c r="L67" s="112"/>
      <c r="M67" s="112"/>
    </row>
    <row r="68" spans="1:13" x14ac:dyDescent="0.4">
      <c r="B68" s="112"/>
      <c r="C68" s="112"/>
      <c r="D68" s="112"/>
      <c r="E68" s="112"/>
      <c r="F68" s="112"/>
      <c r="G68" s="112"/>
      <c r="H68" s="112"/>
      <c r="I68" s="112"/>
      <c r="J68" s="112"/>
      <c r="K68" s="112"/>
      <c r="L68" s="112"/>
      <c r="M68" s="112"/>
    </row>
    <row r="69" spans="1:13" x14ac:dyDescent="0.4">
      <c r="B69" s="112"/>
      <c r="C69" s="112"/>
      <c r="D69" s="112"/>
      <c r="E69" s="112"/>
      <c r="F69" s="112"/>
      <c r="G69" s="112"/>
      <c r="H69" s="112"/>
      <c r="I69" s="112"/>
      <c r="J69" s="112"/>
      <c r="K69" s="112"/>
      <c r="L69" s="112"/>
      <c r="M69" s="112"/>
    </row>
    <row r="70" spans="1:13" ht="18.45" x14ac:dyDescent="0.5">
      <c r="A70" s="305" t="s">
        <v>202</v>
      </c>
      <c r="B70" s="112"/>
      <c r="C70" s="112"/>
      <c r="D70" s="112"/>
      <c r="E70" s="112"/>
      <c r="F70" s="112"/>
      <c r="G70" s="112"/>
      <c r="H70" s="112"/>
      <c r="I70" s="112"/>
      <c r="J70" s="112"/>
      <c r="K70" s="112"/>
      <c r="L70" s="112"/>
      <c r="M70" s="112"/>
    </row>
    <row r="71" spans="1:13" ht="12.75" customHeight="1" x14ac:dyDescent="0.5">
      <c r="A71" s="305"/>
      <c r="B71" s="112"/>
      <c r="C71" s="112"/>
      <c r="D71" s="112"/>
      <c r="E71" s="112"/>
      <c r="F71" s="112"/>
      <c r="G71" s="112"/>
      <c r="H71" s="112"/>
      <c r="I71" s="112"/>
      <c r="J71" s="112"/>
      <c r="K71" s="112"/>
      <c r="L71" s="112"/>
      <c r="M71" s="112"/>
    </row>
    <row r="72" spans="1:13" ht="105.75" customHeight="1" x14ac:dyDescent="0.4">
      <c r="A72" s="344" t="s">
        <v>390</v>
      </c>
      <c r="B72" s="345"/>
      <c r="C72" s="345"/>
      <c r="D72" s="345"/>
      <c r="E72" s="345"/>
      <c r="F72" s="345"/>
      <c r="G72" s="346"/>
      <c r="H72" s="112"/>
      <c r="I72" s="112"/>
      <c r="J72" s="112"/>
      <c r="K72" s="112"/>
      <c r="L72" s="112"/>
      <c r="M72" s="112"/>
    </row>
    <row r="73" spans="1:13" x14ac:dyDescent="0.4">
      <c r="A73" s="28"/>
      <c r="G73" s="112"/>
      <c r="H73" s="112"/>
      <c r="I73" s="112"/>
      <c r="J73" s="112"/>
      <c r="K73" s="112"/>
      <c r="L73" s="112"/>
      <c r="M73" s="112"/>
    </row>
    <row r="74" spans="1:13" ht="15" customHeight="1" x14ac:dyDescent="0.4">
      <c r="A74" s="446" t="s">
        <v>33</v>
      </c>
      <c r="B74" s="451" t="s">
        <v>75</v>
      </c>
      <c r="C74" s="452"/>
      <c r="D74" s="452"/>
      <c r="E74" s="452"/>
      <c r="F74" s="453"/>
      <c r="G74" s="112"/>
      <c r="H74" s="112"/>
      <c r="I74" s="112"/>
      <c r="J74" s="112"/>
      <c r="K74" s="112"/>
      <c r="L74" s="112"/>
    </row>
    <row r="75" spans="1:13" ht="42.45" x14ac:dyDescent="0.4">
      <c r="A75" s="447"/>
      <c r="B75" s="202" t="s">
        <v>151</v>
      </c>
      <c r="C75" s="454" t="s">
        <v>86</v>
      </c>
      <c r="D75" s="455"/>
      <c r="E75" s="202" t="s">
        <v>74</v>
      </c>
      <c r="F75" s="202" t="s">
        <v>78</v>
      </c>
      <c r="G75" s="112"/>
      <c r="H75" s="112"/>
      <c r="I75" s="112"/>
      <c r="J75" s="112"/>
      <c r="K75" s="112"/>
      <c r="L75" s="112"/>
      <c r="M75" s="112"/>
    </row>
    <row r="76" spans="1:13" s="190" customFormat="1" ht="27" customHeight="1" x14ac:dyDescent="0.4">
      <c r="A76" s="306" t="s">
        <v>204</v>
      </c>
      <c r="B76" s="307">
        <v>1</v>
      </c>
      <c r="C76" s="308">
        <v>1</v>
      </c>
      <c r="D76" s="309" t="s">
        <v>208</v>
      </c>
      <c r="E76" s="310">
        <v>1</v>
      </c>
      <c r="F76" s="311">
        <v>1</v>
      </c>
      <c r="G76" s="208"/>
      <c r="H76" s="208"/>
      <c r="I76" s="208"/>
      <c r="J76" s="208"/>
      <c r="K76" s="208"/>
      <c r="L76" s="208"/>
      <c r="M76" s="208"/>
    </row>
    <row r="77" spans="1:13" s="190" customFormat="1" ht="27" customHeight="1" x14ac:dyDescent="0.4">
      <c r="A77" s="312" t="s">
        <v>93</v>
      </c>
      <c r="B77" s="313">
        <v>2.75</v>
      </c>
      <c r="C77" s="314">
        <v>15</v>
      </c>
      <c r="D77" s="314">
        <v>1122</v>
      </c>
      <c r="E77" s="314">
        <v>5</v>
      </c>
      <c r="F77" s="314">
        <v>3</v>
      </c>
      <c r="G77" s="208"/>
      <c r="H77" s="208"/>
      <c r="I77" s="208"/>
      <c r="J77" s="208"/>
      <c r="K77" s="208"/>
      <c r="L77" s="208"/>
      <c r="M77" s="208"/>
    </row>
    <row r="78" spans="1:13" x14ac:dyDescent="0.4">
      <c r="A78" s="203" t="s">
        <v>203</v>
      </c>
      <c r="B78" s="204">
        <f>+BZA!E39/B77</f>
        <v>744.18075788393912</v>
      </c>
      <c r="C78" s="204">
        <f>+BZA!F39/C77</f>
        <v>2289.5498026043415</v>
      </c>
      <c r="D78" s="211">
        <f>+BZA!F39/D77</f>
        <v>30.608954580271945</v>
      </c>
      <c r="E78" s="204">
        <f>+BZA!G39/E77</f>
        <v>72.851175350808631</v>
      </c>
      <c r="F78" s="204">
        <f>+BZA!H39/F77</f>
        <v>5826.666666666667</v>
      </c>
      <c r="G78" s="112"/>
      <c r="H78" s="112"/>
      <c r="I78" s="112"/>
      <c r="J78" s="112"/>
      <c r="K78" s="112"/>
      <c r="L78" s="112"/>
      <c r="M78" s="112"/>
    </row>
    <row r="79" spans="1:13" x14ac:dyDescent="0.4">
      <c r="A79" s="203" t="s">
        <v>175</v>
      </c>
      <c r="B79" s="204">
        <f>+BZA!E47/B77</f>
        <v>113.45853809024662</v>
      </c>
      <c r="C79" s="204">
        <f>+BZA!F47/C77</f>
        <v>1130.7255751164287</v>
      </c>
      <c r="D79" s="211">
        <f>+BZA!F47/D77</f>
        <v>15.116652073749044</v>
      </c>
      <c r="E79" s="204">
        <f>+BZA!G47/E77</f>
        <v>-799.07408669332415</v>
      </c>
      <c r="F79" s="204">
        <f>+BZA!H47/F77</f>
        <v>4277.6030534351148</v>
      </c>
      <c r="G79" s="112"/>
      <c r="H79" s="112"/>
      <c r="I79" s="112"/>
      <c r="J79" s="112"/>
      <c r="K79" s="112"/>
      <c r="L79" s="112"/>
      <c r="M79" s="112"/>
    </row>
    <row r="80" spans="1:13" x14ac:dyDescent="0.4">
      <c r="A80" s="209" t="s">
        <v>205</v>
      </c>
      <c r="B80" s="210">
        <f>+BZA!E56/B77</f>
        <v>-931.26763164241663</v>
      </c>
      <c r="C80" s="210">
        <f>+BZA!F56/C77</f>
        <v>-194.98149749180982</v>
      </c>
      <c r="D80" s="212">
        <f>+BZA!F56/D77</f>
        <v>-2.6067045119225911</v>
      </c>
      <c r="E80" s="210">
        <f>+BZA!G56/E77</f>
        <v>-1694.7628504374704</v>
      </c>
      <c r="F80" s="210">
        <f>+BZA!H56/F77</f>
        <v>1294.158400527047</v>
      </c>
      <c r="G80" s="112"/>
      <c r="H80" s="112"/>
      <c r="I80" s="112"/>
      <c r="J80" s="112"/>
      <c r="K80" s="112"/>
      <c r="L80" s="112"/>
      <c r="M80" s="112"/>
    </row>
    <row r="81" spans="1:13" x14ac:dyDescent="0.4">
      <c r="A81" s="203" t="s">
        <v>180</v>
      </c>
      <c r="B81" s="204">
        <f>+B25/B77</f>
        <v>342.1507929181999</v>
      </c>
      <c r="C81" s="204">
        <f>+C25/C77</f>
        <v>1232.1439228858546</v>
      </c>
      <c r="D81" s="211">
        <f>+C25/D77</f>
        <v>16.472512338046187</v>
      </c>
      <c r="E81" s="204">
        <f>+D25/E77</f>
        <v>1305.9752952374267</v>
      </c>
      <c r="F81" s="204">
        <f>+E25/F77</f>
        <v>2580.6666666666665</v>
      </c>
      <c r="G81" s="112"/>
      <c r="H81" s="112"/>
      <c r="I81" s="112"/>
      <c r="J81" s="112"/>
      <c r="K81" s="112"/>
      <c r="L81" s="112"/>
      <c r="M81" s="112"/>
    </row>
    <row r="82" spans="1:13" x14ac:dyDescent="0.4">
      <c r="A82" s="203" t="s">
        <v>184</v>
      </c>
      <c r="B82" s="204">
        <f>+B34/B77</f>
        <v>605.1219343545273</v>
      </c>
      <c r="C82" s="204">
        <f>+C34/C77</f>
        <v>2104.3027437808119</v>
      </c>
      <c r="D82" s="211">
        <f>+C34/D77</f>
        <v>28.132389622738128</v>
      </c>
      <c r="E82" s="204">
        <f>+D34/E77</f>
        <v>-19.32529523742669</v>
      </c>
      <c r="F82" s="204">
        <f>+E34/F77</f>
        <v>5752.666666666667</v>
      </c>
      <c r="G82" s="112"/>
      <c r="H82" s="112"/>
      <c r="I82" s="112"/>
      <c r="J82" s="112"/>
      <c r="K82" s="112"/>
      <c r="L82" s="112"/>
      <c r="M82" s="112"/>
    </row>
    <row r="83" spans="1:13" x14ac:dyDescent="0.4">
      <c r="A83" s="203" t="s">
        <v>209</v>
      </c>
      <c r="B83" s="204">
        <f>+B15/B77</f>
        <v>98.364707030905024</v>
      </c>
      <c r="C83" s="204">
        <f>+C15/C77</f>
        <v>1084.287827893934</v>
      </c>
      <c r="D83" s="211">
        <f>+C15/D77</f>
        <v>14.495826576122111</v>
      </c>
      <c r="E83" s="204">
        <f>+D15/E77</f>
        <v>-800.55168917305809</v>
      </c>
      <c r="F83" s="204">
        <f>+E15/F77</f>
        <v>4159.4238054848747</v>
      </c>
      <c r="G83" s="112"/>
      <c r="H83" s="112"/>
      <c r="I83" s="112"/>
      <c r="J83" s="112"/>
      <c r="K83" s="112"/>
      <c r="L83" s="112"/>
      <c r="M83" s="112"/>
    </row>
    <row r="84" spans="1:13" x14ac:dyDescent="0.4">
      <c r="A84" s="203" t="s">
        <v>186</v>
      </c>
      <c r="B84" s="204">
        <f>+B47/B77</f>
        <v>861.44401792253677</v>
      </c>
      <c r="C84" s="204">
        <f>+C47/C77</f>
        <v>1329.2914929774461</v>
      </c>
      <c r="D84" s="211">
        <f>+C47/D77</f>
        <v>17.771276644083503</v>
      </c>
      <c r="E84" s="204">
        <f>+D47/E77</f>
        <v>775.19901946542655</v>
      </c>
      <c r="F84" s="204">
        <f>+E47/F77</f>
        <v>3057.4446529080674</v>
      </c>
      <c r="G84" s="112"/>
      <c r="H84" s="112"/>
      <c r="I84" s="112"/>
      <c r="J84" s="112"/>
      <c r="K84" s="112"/>
      <c r="L84" s="112"/>
      <c r="M84" s="112"/>
    </row>
    <row r="85" spans="1:13" x14ac:dyDescent="0.4">
      <c r="A85" s="209" t="s">
        <v>193</v>
      </c>
      <c r="B85" s="210">
        <f>+B56/B77</f>
        <v>-800.49976536235522</v>
      </c>
      <c r="C85" s="210">
        <f>+C56/C77</f>
        <v>470.96596967516962</v>
      </c>
      <c r="D85" s="212">
        <f>+C56/D77</f>
        <v>6.296336492983551</v>
      </c>
      <c r="E85" s="210">
        <f>+D56/E77</f>
        <v>-1295.1943701372829</v>
      </c>
      <c r="F85" s="210">
        <f>+E56/F77</f>
        <v>4277.6030534351148</v>
      </c>
      <c r="G85" s="112"/>
      <c r="H85" s="112"/>
      <c r="I85" s="112"/>
      <c r="J85" s="112"/>
      <c r="K85" s="112"/>
      <c r="L85" s="112"/>
      <c r="M85" s="112"/>
    </row>
    <row r="86" spans="1:13" x14ac:dyDescent="0.4">
      <c r="A86" s="203" t="s">
        <v>206</v>
      </c>
      <c r="B86" s="204">
        <f>+BZA!E20/B77</f>
        <v>947.27272727272725</v>
      </c>
      <c r="C86" s="204">
        <f>+BZA!F20/C77</f>
        <v>3336.4466666666663</v>
      </c>
      <c r="D86" s="211">
        <f>+BZA!F20/D77</f>
        <v>44.604901960784311</v>
      </c>
      <c r="E86" s="204">
        <f>+BZA!G20/E77</f>
        <v>1286.6500000000001</v>
      </c>
      <c r="F86" s="204">
        <f>+BZA!H20/F77</f>
        <v>8333.3333333333339</v>
      </c>
      <c r="G86" s="112"/>
      <c r="H86" s="112"/>
      <c r="I86" s="112"/>
      <c r="J86" s="112"/>
      <c r="K86" s="112"/>
      <c r="L86" s="112"/>
      <c r="M86" s="112"/>
    </row>
    <row r="87" spans="1:13" x14ac:dyDescent="0.4">
      <c r="A87" s="209" t="s">
        <v>207</v>
      </c>
      <c r="B87" s="210">
        <f>+B65/B77</f>
        <v>1878.5403589151438</v>
      </c>
      <c r="C87" s="210">
        <f>+C65/C77</f>
        <v>3531.4281641584762</v>
      </c>
      <c r="D87" s="212">
        <f>+C65/D77</f>
        <v>47.211606472706904</v>
      </c>
      <c r="E87" s="210">
        <f>+D65/E77</f>
        <v>2981.4128504374708</v>
      </c>
      <c r="F87" s="210">
        <f>+E65/F77</f>
        <v>7039.174932806287</v>
      </c>
      <c r="G87" s="112"/>
      <c r="H87" s="112"/>
      <c r="I87" s="112"/>
      <c r="J87" s="112"/>
      <c r="K87" s="112"/>
      <c r="L87" s="112"/>
      <c r="M87" s="112"/>
    </row>
    <row r="88" spans="1:13" x14ac:dyDescent="0.4">
      <c r="B88" s="27"/>
      <c r="C88" s="112"/>
      <c r="D88" s="112"/>
      <c r="E88" s="112"/>
      <c r="F88" s="112"/>
      <c r="G88" s="112"/>
      <c r="H88" s="112"/>
      <c r="I88" s="112"/>
      <c r="J88" s="112"/>
      <c r="K88" s="112"/>
      <c r="L88" s="112"/>
      <c r="M88" s="112"/>
    </row>
    <row r="89" spans="1:13" x14ac:dyDescent="0.4">
      <c r="B89" s="112"/>
      <c r="C89" s="112"/>
      <c r="D89" s="112"/>
      <c r="E89" s="112"/>
      <c r="F89" s="112"/>
      <c r="G89" s="112"/>
      <c r="H89" s="112"/>
      <c r="I89" s="112"/>
      <c r="J89" s="112"/>
      <c r="K89" s="112"/>
      <c r="L89" s="112"/>
      <c r="M89" s="112"/>
    </row>
    <row r="90" spans="1:13" x14ac:dyDescent="0.4">
      <c r="B90" s="112"/>
      <c r="C90" s="27"/>
      <c r="D90" s="189"/>
      <c r="E90" s="112"/>
      <c r="F90" s="27"/>
      <c r="G90" s="112"/>
      <c r="H90" s="112"/>
      <c r="I90" s="112"/>
      <c r="J90" s="112"/>
      <c r="K90" s="112"/>
      <c r="L90" s="112"/>
      <c r="M90" s="112"/>
    </row>
    <row r="91" spans="1:13" x14ac:dyDescent="0.4">
      <c r="B91" s="112"/>
      <c r="C91" s="112"/>
      <c r="D91" s="112"/>
      <c r="E91" s="112"/>
      <c r="F91" s="112"/>
      <c r="G91" s="112"/>
      <c r="H91" s="112"/>
      <c r="I91" s="112"/>
      <c r="J91" s="112"/>
      <c r="K91" s="112"/>
      <c r="L91" s="112"/>
      <c r="M91" s="112"/>
    </row>
    <row r="92" spans="1:13" x14ac:dyDescent="0.4">
      <c r="B92" s="112"/>
      <c r="C92" s="112"/>
      <c r="D92" s="112"/>
      <c r="E92" s="112"/>
      <c r="F92" s="112"/>
      <c r="G92" s="112"/>
      <c r="H92" s="112"/>
      <c r="I92" s="112"/>
      <c r="J92" s="112"/>
      <c r="K92" s="112"/>
      <c r="L92" s="112"/>
      <c r="M92" s="112"/>
    </row>
    <row r="93" spans="1:13" x14ac:dyDescent="0.4">
      <c r="B93" s="112"/>
      <c r="C93" s="112"/>
      <c r="D93" s="112"/>
      <c r="E93" s="112"/>
      <c r="F93" s="112"/>
      <c r="G93" s="112"/>
      <c r="H93" s="112"/>
      <c r="I93" s="112"/>
      <c r="J93" s="112"/>
      <c r="K93" s="112"/>
      <c r="L93" s="112"/>
      <c r="M93" s="112"/>
    </row>
    <row r="94" spans="1:13" x14ac:dyDescent="0.4">
      <c r="B94" s="112"/>
      <c r="C94" s="112"/>
      <c r="D94" s="112"/>
      <c r="E94" s="112"/>
      <c r="F94" s="112"/>
      <c r="G94" s="112"/>
      <c r="H94" s="112"/>
      <c r="I94" s="112"/>
      <c r="J94" s="112"/>
      <c r="K94" s="112"/>
      <c r="L94" s="112"/>
      <c r="M94" s="112"/>
    </row>
    <row r="95" spans="1:13" x14ac:dyDescent="0.4">
      <c r="B95" s="112"/>
      <c r="C95" s="112"/>
      <c r="D95" s="112"/>
      <c r="E95" s="112"/>
      <c r="F95" s="112"/>
      <c r="G95" s="112"/>
      <c r="H95" s="112"/>
      <c r="I95" s="112"/>
      <c r="J95" s="112"/>
      <c r="K95" s="112"/>
      <c r="L95" s="112"/>
      <c r="M95" s="112"/>
    </row>
    <row r="96" spans="1:13" x14ac:dyDescent="0.4">
      <c r="B96" s="112"/>
      <c r="C96" s="112"/>
      <c r="D96" s="112"/>
      <c r="E96" s="112"/>
      <c r="F96" s="112"/>
      <c r="G96" s="112"/>
      <c r="H96" s="112"/>
      <c r="I96" s="112"/>
      <c r="J96" s="112"/>
      <c r="K96" s="112"/>
      <c r="L96" s="112"/>
      <c r="M96" s="112"/>
    </row>
    <row r="97" spans="2:13" x14ac:dyDescent="0.4">
      <c r="B97" s="112"/>
      <c r="C97" s="112"/>
      <c r="D97" s="112"/>
      <c r="E97" s="112"/>
      <c r="F97" s="112"/>
      <c r="G97" s="112"/>
      <c r="H97" s="112"/>
      <c r="I97" s="112"/>
      <c r="J97" s="112"/>
      <c r="K97" s="112"/>
      <c r="L97" s="112"/>
      <c r="M97" s="112"/>
    </row>
    <row r="98" spans="2:13" x14ac:dyDescent="0.4">
      <c r="B98" s="112"/>
      <c r="C98" s="112"/>
      <c r="D98" s="112"/>
      <c r="E98" s="112"/>
      <c r="F98" s="112"/>
      <c r="G98" s="112"/>
      <c r="H98" s="112"/>
      <c r="I98" s="112"/>
      <c r="J98" s="112"/>
      <c r="K98" s="112"/>
      <c r="L98" s="112"/>
      <c r="M98" s="112"/>
    </row>
    <row r="99" spans="2:13" x14ac:dyDescent="0.4">
      <c r="B99" s="112"/>
      <c r="C99" s="112"/>
      <c r="D99" s="112"/>
      <c r="E99" s="112"/>
      <c r="F99" s="112"/>
      <c r="G99" s="112"/>
      <c r="H99" s="112"/>
      <c r="I99" s="112"/>
      <c r="J99" s="112"/>
      <c r="K99" s="112"/>
      <c r="L99" s="112"/>
      <c r="M99" s="112"/>
    </row>
    <row r="100" spans="2:13" x14ac:dyDescent="0.4">
      <c r="B100" s="112"/>
      <c r="C100" s="112"/>
      <c r="D100" s="112"/>
      <c r="E100" s="112"/>
      <c r="F100" s="112"/>
      <c r="G100" s="112"/>
      <c r="H100" s="112"/>
      <c r="I100" s="112"/>
      <c r="J100" s="112"/>
      <c r="K100" s="112"/>
      <c r="L100" s="112"/>
      <c r="M100" s="112"/>
    </row>
    <row r="101" spans="2:13" x14ac:dyDescent="0.4">
      <c r="B101" s="112"/>
      <c r="C101" s="112"/>
      <c r="D101" s="112"/>
      <c r="E101" s="112"/>
      <c r="F101" s="112"/>
      <c r="G101" s="112"/>
      <c r="H101" s="112"/>
      <c r="I101" s="112"/>
      <c r="J101" s="112"/>
      <c r="K101" s="112"/>
      <c r="L101" s="112"/>
      <c r="M101" s="112"/>
    </row>
    <row r="102" spans="2:13" x14ac:dyDescent="0.4">
      <c r="B102" s="112"/>
      <c r="C102" s="112"/>
      <c r="D102" s="112"/>
      <c r="E102" s="112"/>
      <c r="F102" s="112"/>
      <c r="G102" s="112"/>
      <c r="H102" s="112"/>
      <c r="I102" s="112"/>
      <c r="J102" s="112"/>
      <c r="K102" s="112"/>
      <c r="L102" s="112"/>
      <c r="M102" s="112"/>
    </row>
    <row r="103" spans="2:13" x14ac:dyDescent="0.4">
      <c r="B103" s="112"/>
      <c r="C103" s="112"/>
      <c r="D103" s="112"/>
      <c r="E103" s="112"/>
      <c r="F103" s="112"/>
      <c r="G103" s="112"/>
      <c r="H103" s="112"/>
      <c r="I103" s="112"/>
      <c r="J103" s="112"/>
      <c r="K103" s="112"/>
      <c r="L103" s="112"/>
      <c r="M103" s="112"/>
    </row>
    <row r="104" spans="2:13" x14ac:dyDescent="0.4">
      <c r="B104" s="112"/>
      <c r="C104" s="112"/>
      <c r="D104" s="112"/>
      <c r="E104" s="112"/>
      <c r="F104" s="112"/>
      <c r="G104" s="112"/>
      <c r="H104" s="112"/>
      <c r="I104" s="112"/>
      <c r="J104" s="112"/>
      <c r="K104" s="112"/>
      <c r="L104" s="112"/>
      <c r="M104" s="112"/>
    </row>
    <row r="105" spans="2:13" x14ac:dyDescent="0.4">
      <c r="B105" s="112"/>
      <c r="C105" s="112"/>
      <c r="D105" s="112"/>
      <c r="E105" s="112"/>
      <c r="F105" s="112"/>
      <c r="G105" s="112"/>
      <c r="H105" s="112"/>
      <c r="I105" s="112"/>
      <c r="J105" s="112"/>
      <c r="K105" s="112"/>
      <c r="L105" s="112"/>
      <c r="M105" s="112"/>
    </row>
    <row r="106" spans="2:13" x14ac:dyDescent="0.4">
      <c r="B106" s="112"/>
      <c r="C106" s="112"/>
      <c r="D106" s="112"/>
      <c r="E106" s="112"/>
      <c r="F106" s="112"/>
      <c r="G106" s="112"/>
      <c r="H106" s="112"/>
      <c r="I106" s="112"/>
      <c r="J106" s="112"/>
      <c r="K106" s="112"/>
      <c r="L106" s="112"/>
      <c r="M106" s="112"/>
    </row>
    <row r="107" spans="2:13" x14ac:dyDescent="0.4">
      <c r="B107" s="112"/>
      <c r="C107" s="112"/>
      <c r="D107" s="112"/>
      <c r="E107" s="112"/>
      <c r="F107" s="112"/>
      <c r="G107" s="112"/>
      <c r="H107" s="112"/>
      <c r="I107" s="112"/>
      <c r="J107" s="112"/>
      <c r="K107" s="112"/>
      <c r="L107" s="112"/>
      <c r="M107" s="112"/>
    </row>
    <row r="108" spans="2:13" x14ac:dyDescent="0.4">
      <c r="B108" s="112"/>
      <c r="C108" s="112"/>
      <c r="D108" s="112"/>
      <c r="E108" s="112"/>
      <c r="F108" s="112"/>
      <c r="G108" s="112"/>
      <c r="H108" s="112"/>
      <c r="I108" s="112"/>
      <c r="J108" s="112"/>
      <c r="K108" s="112"/>
      <c r="L108" s="112"/>
      <c r="M108" s="112"/>
    </row>
    <row r="109" spans="2:13" x14ac:dyDescent="0.4">
      <c r="B109" s="112"/>
      <c r="C109" s="112"/>
      <c r="D109" s="112"/>
      <c r="E109" s="112"/>
      <c r="F109" s="112"/>
      <c r="G109" s="112"/>
      <c r="H109" s="112"/>
      <c r="I109" s="112"/>
      <c r="J109" s="112"/>
      <c r="K109" s="112"/>
      <c r="L109" s="112"/>
      <c r="M109" s="112"/>
    </row>
    <row r="110" spans="2:13" x14ac:dyDescent="0.4">
      <c r="B110" s="112"/>
      <c r="C110" s="112"/>
      <c r="D110" s="112"/>
      <c r="E110" s="112"/>
      <c r="F110" s="112"/>
      <c r="G110" s="112"/>
      <c r="H110" s="112"/>
      <c r="I110" s="112"/>
      <c r="J110" s="112"/>
      <c r="K110" s="112"/>
      <c r="L110" s="112"/>
      <c r="M110" s="112"/>
    </row>
    <row r="111" spans="2:13" x14ac:dyDescent="0.4">
      <c r="B111" s="112"/>
      <c r="C111" s="112"/>
      <c r="D111" s="112"/>
      <c r="E111" s="112"/>
      <c r="F111" s="112"/>
      <c r="G111" s="112"/>
      <c r="H111" s="112"/>
      <c r="I111" s="112"/>
      <c r="J111" s="112"/>
      <c r="K111" s="112"/>
      <c r="L111" s="112"/>
      <c r="M111" s="112"/>
    </row>
    <row r="112" spans="2:13" x14ac:dyDescent="0.4">
      <c r="B112" s="112"/>
      <c r="C112" s="112"/>
      <c r="D112" s="112"/>
      <c r="E112" s="112"/>
      <c r="F112" s="112"/>
      <c r="G112" s="112"/>
      <c r="H112" s="112"/>
      <c r="I112" s="112"/>
      <c r="J112" s="112"/>
      <c r="K112" s="112"/>
      <c r="L112" s="112"/>
      <c r="M112" s="112"/>
    </row>
    <row r="113" spans="2:13" x14ac:dyDescent="0.4">
      <c r="B113" s="112"/>
      <c r="C113" s="112"/>
      <c r="D113" s="112"/>
      <c r="E113" s="112"/>
      <c r="F113" s="112"/>
      <c r="G113" s="112"/>
      <c r="H113" s="112"/>
      <c r="I113" s="112"/>
      <c r="J113" s="112"/>
      <c r="K113" s="112"/>
      <c r="L113" s="112"/>
      <c r="M113" s="112"/>
    </row>
    <row r="114" spans="2:13" x14ac:dyDescent="0.4">
      <c r="B114" s="112"/>
      <c r="C114" s="112"/>
      <c r="D114" s="112"/>
      <c r="E114" s="112"/>
      <c r="F114" s="112"/>
      <c r="G114" s="112"/>
      <c r="H114" s="112"/>
      <c r="I114" s="112"/>
      <c r="J114" s="112"/>
      <c r="K114" s="112"/>
      <c r="L114" s="112"/>
      <c r="M114" s="112"/>
    </row>
    <row r="115" spans="2:13" x14ac:dyDescent="0.4">
      <c r="B115" s="112"/>
      <c r="C115" s="112"/>
      <c r="D115" s="112"/>
      <c r="E115" s="112"/>
      <c r="F115" s="112"/>
      <c r="G115" s="112"/>
      <c r="H115" s="112"/>
      <c r="I115" s="112"/>
      <c r="J115" s="112"/>
      <c r="K115" s="112"/>
      <c r="L115" s="112"/>
      <c r="M115" s="112"/>
    </row>
    <row r="116" spans="2:13" x14ac:dyDescent="0.4">
      <c r="B116" s="112"/>
      <c r="C116" s="112"/>
      <c r="D116" s="112"/>
      <c r="E116" s="112"/>
      <c r="F116" s="112"/>
      <c r="G116" s="112"/>
      <c r="H116" s="112"/>
      <c r="I116" s="112"/>
      <c r="J116" s="112"/>
      <c r="K116" s="112"/>
      <c r="L116" s="112"/>
      <c r="M116" s="112"/>
    </row>
    <row r="117" spans="2:13" x14ac:dyDescent="0.4">
      <c r="B117" s="112"/>
      <c r="C117" s="112"/>
      <c r="D117" s="112"/>
      <c r="E117" s="112"/>
      <c r="F117" s="112"/>
      <c r="G117" s="112"/>
      <c r="H117" s="112"/>
      <c r="I117" s="112"/>
      <c r="J117" s="112"/>
      <c r="K117" s="112"/>
      <c r="L117" s="112"/>
      <c r="M117" s="112"/>
    </row>
    <row r="118" spans="2:13" x14ac:dyDescent="0.4">
      <c r="B118" s="112"/>
      <c r="C118" s="112"/>
      <c r="D118" s="112"/>
      <c r="E118" s="112"/>
      <c r="F118" s="112"/>
      <c r="G118" s="112"/>
      <c r="H118" s="112"/>
      <c r="I118" s="112"/>
      <c r="J118" s="112"/>
      <c r="K118" s="112"/>
      <c r="L118" s="112"/>
      <c r="M118" s="112"/>
    </row>
    <row r="119" spans="2:13" x14ac:dyDescent="0.4">
      <c r="B119" s="112"/>
      <c r="C119" s="112"/>
      <c r="D119" s="112"/>
      <c r="E119" s="112"/>
      <c r="F119" s="112"/>
      <c r="G119" s="112"/>
      <c r="H119" s="112"/>
      <c r="I119" s="112"/>
      <c r="J119" s="112"/>
      <c r="K119" s="112"/>
      <c r="L119" s="112"/>
      <c r="M119" s="112"/>
    </row>
    <row r="120" spans="2:13" x14ac:dyDescent="0.4">
      <c r="B120" s="112"/>
      <c r="C120" s="112"/>
      <c r="D120" s="112"/>
      <c r="E120" s="112"/>
      <c r="F120" s="112"/>
      <c r="G120" s="112"/>
      <c r="H120" s="112"/>
      <c r="I120" s="112"/>
      <c r="J120" s="112"/>
      <c r="K120" s="112"/>
      <c r="L120" s="112"/>
      <c r="M120" s="112"/>
    </row>
    <row r="121" spans="2:13" x14ac:dyDescent="0.4">
      <c r="B121" s="112"/>
      <c r="C121" s="112"/>
      <c r="D121" s="112"/>
      <c r="E121" s="112"/>
      <c r="F121" s="112"/>
      <c r="G121" s="112"/>
      <c r="H121" s="112"/>
      <c r="I121" s="112"/>
      <c r="J121" s="112"/>
      <c r="K121" s="112"/>
      <c r="L121" s="112"/>
      <c r="M121" s="112"/>
    </row>
    <row r="122" spans="2:13" x14ac:dyDescent="0.4">
      <c r="B122" s="112"/>
      <c r="C122" s="112"/>
      <c r="D122" s="112"/>
      <c r="E122" s="112"/>
      <c r="F122" s="112"/>
      <c r="G122" s="112"/>
      <c r="H122" s="112"/>
      <c r="I122" s="112"/>
      <c r="J122" s="112"/>
      <c r="K122" s="112"/>
      <c r="L122" s="112"/>
      <c r="M122" s="112"/>
    </row>
    <row r="123" spans="2:13" x14ac:dyDescent="0.4">
      <c r="B123" s="112"/>
      <c r="C123" s="112"/>
      <c r="D123" s="112"/>
      <c r="E123" s="112"/>
      <c r="F123" s="112"/>
      <c r="G123" s="112"/>
      <c r="H123" s="112"/>
      <c r="I123" s="112"/>
      <c r="J123" s="112"/>
      <c r="K123" s="112"/>
      <c r="L123" s="112"/>
      <c r="M123" s="112"/>
    </row>
    <row r="124" spans="2:13" x14ac:dyDescent="0.4">
      <c r="B124" s="112"/>
      <c r="C124" s="112"/>
      <c r="D124" s="112"/>
      <c r="E124" s="112"/>
      <c r="F124" s="112"/>
      <c r="G124" s="112"/>
      <c r="H124" s="112"/>
      <c r="I124" s="112"/>
      <c r="J124" s="112"/>
      <c r="K124" s="112"/>
      <c r="L124" s="112"/>
      <c r="M124" s="112"/>
    </row>
    <row r="125" spans="2:13" x14ac:dyDescent="0.4">
      <c r="B125" s="112"/>
      <c r="C125" s="112"/>
      <c r="D125" s="112"/>
      <c r="E125" s="112"/>
      <c r="F125" s="112"/>
      <c r="G125" s="112"/>
      <c r="H125" s="112"/>
      <c r="I125" s="112"/>
      <c r="J125" s="112"/>
      <c r="K125" s="112"/>
      <c r="L125" s="112"/>
      <c r="M125" s="112"/>
    </row>
    <row r="126" spans="2:13" x14ac:dyDescent="0.4">
      <c r="B126" s="112"/>
      <c r="C126" s="112"/>
      <c r="D126" s="112"/>
      <c r="E126" s="112"/>
      <c r="F126" s="112"/>
      <c r="G126" s="112"/>
      <c r="H126" s="112"/>
      <c r="I126" s="112"/>
      <c r="J126" s="112"/>
      <c r="K126" s="112"/>
      <c r="L126" s="112"/>
      <c r="M126" s="112"/>
    </row>
    <row r="127" spans="2:13" x14ac:dyDescent="0.4">
      <c r="B127" s="112"/>
      <c r="C127" s="112"/>
      <c r="D127" s="112"/>
      <c r="E127" s="112"/>
      <c r="F127" s="112"/>
      <c r="G127" s="112"/>
      <c r="H127" s="112"/>
      <c r="I127" s="112"/>
      <c r="J127" s="112"/>
      <c r="K127" s="112"/>
      <c r="L127" s="112"/>
      <c r="M127" s="112"/>
    </row>
    <row r="128" spans="2:13" x14ac:dyDescent="0.4">
      <c r="B128" s="112"/>
      <c r="C128" s="112"/>
      <c r="D128" s="112"/>
      <c r="E128" s="112"/>
      <c r="F128" s="112"/>
      <c r="G128" s="112"/>
      <c r="H128" s="112"/>
      <c r="I128" s="112"/>
      <c r="J128" s="112"/>
      <c r="K128" s="112"/>
      <c r="L128" s="112"/>
      <c r="M128" s="112"/>
    </row>
    <row r="129" spans="2:13" x14ac:dyDescent="0.4">
      <c r="B129" s="112"/>
      <c r="C129" s="112"/>
      <c r="D129" s="112"/>
      <c r="E129" s="112"/>
      <c r="F129" s="112"/>
      <c r="G129" s="112"/>
      <c r="H129" s="112"/>
      <c r="I129" s="112"/>
      <c r="J129" s="112"/>
      <c r="K129" s="112"/>
      <c r="L129" s="112"/>
      <c r="M129" s="112"/>
    </row>
    <row r="130" spans="2:13" x14ac:dyDescent="0.4">
      <c r="B130" s="112"/>
      <c r="C130" s="112"/>
      <c r="D130" s="112"/>
      <c r="E130" s="112"/>
      <c r="F130" s="112"/>
      <c r="G130" s="112"/>
      <c r="H130" s="112"/>
      <c r="I130" s="112"/>
      <c r="J130" s="112"/>
      <c r="K130" s="112"/>
      <c r="L130" s="112"/>
      <c r="M130" s="112"/>
    </row>
    <row r="131" spans="2:13" x14ac:dyDescent="0.4">
      <c r="B131" s="112"/>
      <c r="C131" s="112"/>
      <c r="D131" s="112"/>
      <c r="E131" s="112"/>
      <c r="F131" s="112"/>
      <c r="G131" s="112"/>
      <c r="H131" s="112"/>
      <c r="I131" s="112"/>
      <c r="J131" s="112"/>
      <c r="K131" s="112"/>
      <c r="L131" s="112"/>
      <c r="M131" s="112"/>
    </row>
    <row r="132" spans="2:13" x14ac:dyDescent="0.4">
      <c r="B132" s="112"/>
      <c r="C132" s="112"/>
      <c r="D132" s="112"/>
      <c r="E132" s="112"/>
      <c r="F132" s="112"/>
      <c r="G132" s="112"/>
      <c r="H132" s="112"/>
      <c r="I132" s="112"/>
      <c r="J132" s="112"/>
      <c r="K132" s="112"/>
      <c r="L132" s="112"/>
      <c r="M132" s="112"/>
    </row>
    <row r="133" spans="2:13" x14ac:dyDescent="0.4">
      <c r="B133" s="112"/>
      <c r="C133" s="112"/>
      <c r="D133" s="112"/>
      <c r="E133" s="112"/>
      <c r="F133" s="112"/>
      <c r="G133" s="112"/>
      <c r="H133" s="112"/>
      <c r="I133" s="112"/>
      <c r="J133" s="112"/>
      <c r="K133" s="112"/>
      <c r="L133" s="112"/>
      <c r="M133" s="112"/>
    </row>
    <row r="134" spans="2:13" x14ac:dyDescent="0.4">
      <c r="B134" s="112"/>
      <c r="C134" s="112"/>
      <c r="D134" s="112"/>
      <c r="E134" s="112"/>
      <c r="F134" s="112"/>
      <c r="G134" s="112"/>
      <c r="H134" s="112"/>
      <c r="I134" s="112"/>
      <c r="J134" s="112"/>
      <c r="K134" s="112"/>
      <c r="L134" s="112"/>
      <c r="M134" s="112"/>
    </row>
    <row r="135" spans="2:13" x14ac:dyDescent="0.4">
      <c r="B135" s="112"/>
      <c r="C135" s="112"/>
      <c r="D135" s="112"/>
      <c r="E135" s="112"/>
      <c r="F135" s="112"/>
      <c r="G135" s="112"/>
      <c r="H135" s="112"/>
      <c r="I135" s="112"/>
      <c r="J135" s="112"/>
      <c r="K135" s="112"/>
      <c r="L135" s="112"/>
      <c r="M135" s="112"/>
    </row>
    <row r="136" spans="2:13" x14ac:dyDescent="0.4">
      <c r="B136" s="112"/>
      <c r="C136" s="112"/>
      <c r="D136" s="112"/>
      <c r="E136" s="112"/>
      <c r="F136" s="112"/>
      <c r="G136" s="112"/>
      <c r="H136" s="112"/>
      <c r="I136" s="112"/>
      <c r="J136" s="112"/>
      <c r="K136" s="112"/>
      <c r="L136" s="112"/>
      <c r="M136" s="112"/>
    </row>
    <row r="137" spans="2:13" x14ac:dyDescent="0.4">
      <c r="B137" s="112"/>
      <c r="C137" s="112"/>
      <c r="D137" s="112"/>
      <c r="E137" s="112"/>
      <c r="F137" s="112"/>
      <c r="G137" s="112"/>
      <c r="H137" s="112"/>
      <c r="I137" s="112"/>
      <c r="J137" s="112"/>
      <c r="K137" s="112"/>
      <c r="L137" s="112"/>
      <c r="M137" s="112"/>
    </row>
    <row r="138" spans="2:13" x14ac:dyDescent="0.4">
      <c r="B138" s="112"/>
      <c r="C138" s="112"/>
      <c r="D138" s="112"/>
      <c r="E138" s="112"/>
      <c r="F138" s="112"/>
      <c r="G138" s="112"/>
      <c r="H138" s="112"/>
      <c r="I138" s="112"/>
      <c r="J138" s="112"/>
      <c r="K138" s="112"/>
      <c r="L138" s="112"/>
      <c r="M138" s="112"/>
    </row>
    <row r="139" spans="2:13" x14ac:dyDescent="0.4">
      <c r="B139" s="112"/>
      <c r="C139" s="112"/>
      <c r="D139" s="112"/>
      <c r="E139" s="112"/>
      <c r="F139" s="112"/>
      <c r="G139" s="112"/>
      <c r="H139" s="112"/>
      <c r="I139" s="112"/>
      <c r="J139" s="112"/>
      <c r="K139" s="112"/>
      <c r="L139" s="112"/>
      <c r="M139" s="112"/>
    </row>
    <row r="140" spans="2:13" x14ac:dyDescent="0.4">
      <c r="B140" s="112"/>
      <c r="C140" s="112"/>
      <c r="D140" s="112"/>
      <c r="E140" s="112"/>
      <c r="F140" s="112"/>
      <c r="G140" s="112"/>
      <c r="H140" s="112"/>
      <c r="I140" s="112"/>
      <c r="J140" s="112"/>
      <c r="K140" s="112"/>
      <c r="L140" s="112"/>
      <c r="M140" s="112"/>
    </row>
    <row r="141" spans="2:13" x14ac:dyDescent="0.4">
      <c r="B141" s="112"/>
      <c r="C141" s="112"/>
      <c r="D141" s="112"/>
      <c r="E141" s="112"/>
      <c r="F141" s="112"/>
      <c r="G141" s="112"/>
      <c r="H141" s="112"/>
      <c r="I141" s="112"/>
      <c r="J141" s="112"/>
      <c r="K141" s="112"/>
      <c r="L141" s="112"/>
      <c r="M141" s="112"/>
    </row>
    <row r="142" spans="2:13" x14ac:dyDescent="0.4">
      <c r="B142" s="112"/>
      <c r="C142" s="112"/>
      <c r="D142" s="112"/>
      <c r="E142" s="112"/>
      <c r="F142" s="112"/>
      <c r="G142" s="112"/>
      <c r="H142" s="112"/>
      <c r="I142" s="112"/>
      <c r="J142" s="112"/>
      <c r="K142" s="112"/>
      <c r="L142" s="112"/>
      <c r="M142" s="112"/>
    </row>
    <row r="143" spans="2:13" x14ac:dyDescent="0.4">
      <c r="B143" s="112"/>
      <c r="C143" s="112"/>
      <c r="D143" s="112"/>
      <c r="E143" s="112"/>
      <c r="F143" s="112"/>
      <c r="G143" s="112"/>
      <c r="H143" s="112"/>
      <c r="I143" s="112"/>
      <c r="J143" s="112"/>
      <c r="K143" s="112"/>
      <c r="L143" s="112"/>
      <c r="M143" s="112"/>
    </row>
    <row r="144" spans="2:13" x14ac:dyDescent="0.4">
      <c r="B144" s="112"/>
      <c r="C144" s="112"/>
      <c r="D144" s="112"/>
      <c r="E144" s="112"/>
      <c r="F144" s="112"/>
      <c r="G144" s="112"/>
      <c r="H144" s="112"/>
      <c r="I144" s="112"/>
      <c r="J144" s="112"/>
      <c r="K144" s="112"/>
      <c r="L144" s="112"/>
      <c r="M144" s="112"/>
    </row>
    <row r="145" spans="2:13" x14ac:dyDescent="0.4">
      <c r="B145" s="112"/>
      <c r="C145" s="112"/>
      <c r="D145" s="112"/>
      <c r="E145" s="112"/>
      <c r="F145" s="112"/>
      <c r="G145" s="112"/>
      <c r="H145" s="112"/>
      <c r="I145" s="112"/>
      <c r="J145" s="112"/>
      <c r="K145" s="112"/>
      <c r="L145" s="112"/>
      <c r="M145" s="112"/>
    </row>
    <row r="146" spans="2:13" x14ac:dyDescent="0.4">
      <c r="B146" s="112"/>
      <c r="C146" s="112"/>
      <c r="D146" s="112"/>
      <c r="E146" s="112"/>
      <c r="F146" s="112"/>
      <c r="G146" s="112"/>
      <c r="H146" s="112"/>
      <c r="I146" s="112"/>
      <c r="J146" s="112"/>
      <c r="K146" s="112"/>
      <c r="L146" s="112"/>
      <c r="M146" s="112"/>
    </row>
    <row r="147" spans="2:13" x14ac:dyDescent="0.4">
      <c r="B147" s="112"/>
      <c r="C147" s="112"/>
      <c r="D147" s="112"/>
      <c r="E147" s="112"/>
      <c r="F147" s="112"/>
      <c r="G147" s="112"/>
      <c r="H147" s="112"/>
      <c r="I147" s="112"/>
      <c r="J147" s="112"/>
      <c r="K147" s="112"/>
      <c r="L147" s="112"/>
      <c r="M147" s="112"/>
    </row>
    <row r="148" spans="2:13" x14ac:dyDescent="0.4">
      <c r="B148" s="112"/>
      <c r="C148" s="112"/>
      <c r="D148" s="112"/>
      <c r="E148" s="112"/>
      <c r="F148" s="112"/>
      <c r="G148" s="112"/>
      <c r="H148" s="112"/>
      <c r="I148" s="112"/>
      <c r="J148" s="112"/>
      <c r="K148" s="112"/>
      <c r="L148" s="112"/>
      <c r="M148" s="112"/>
    </row>
    <row r="149" spans="2:13" x14ac:dyDescent="0.4">
      <c r="B149" s="112"/>
      <c r="C149" s="112"/>
      <c r="D149" s="112"/>
      <c r="E149" s="112"/>
      <c r="F149" s="112"/>
      <c r="G149" s="112"/>
      <c r="H149" s="112"/>
      <c r="I149" s="112"/>
      <c r="J149" s="112"/>
      <c r="K149" s="112"/>
      <c r="L149" s="112"/>
      <c r="M149" s="112"/>
    </row>
    <row r="150" spans="2:13" x14ac:dyDescent="0.4">
      <c r="B150" s="112"/>
      <c r="C150" s="112"/>
      <c r="D150" s="112"/>
      <c r="E150" s="112"/>
      <c r="F150" s="112"/>
      <c r="G150" s="112"/>
      <c r="H150" s="112"/>
      <c r="I150" s="112"/>
      <c r="J150" s="112"/>
      <c r="K150" s="112"/>
      <c r="L150" s="112"/>
      <c r="M150" s="112"/>
    </row>
    <row r="151" spans="2:13" x14ac:dyDescent="0.4">
      <c r="B151" s="112"/>
      <c r="C151" s="112"/>
      <c r="D151" s="112"/>
      <c r="E151" s="112"/>
      <c r="F151" s="112"/>
      <c r="G151" s="112"/>
      <c r="H151" s="112"/>
      <c r="I151" s="112"/>
      <c r="J151" s="112"/>
      <c r="K151" s="112"/>
      <c r="L151" s="112"/>
      <c r="M151" s="112"/>
    </row>
    <row r="152" spans="2:13" x14ac:dyDescent="0.4">
      <c r="B152" s="112"/>
      <c r="C152" s="112"/>
      <c r="D152" s="112"/>
      <c r="E152" s="112"/>
      <c r="F152" s="112"/>
      <c r="G152" s="112"/>
      <c r="H152" s="112"/>
      <c r="I152" s="112"/>
      <c r="J152" s="112"/>
      <c r="K152" s="112"/>
      <c r="L152" s="112"/>
      <c r="M152" s="112"/>
    </row>
    <row r="153" spans="2:13" x14ac:dyDescent="0.4">
      <c r="B153" s="112"/>
      <c r="C153" s="112"/>
      <c r="D153" s="112"/>
      <c r="E153" s="112"/>
      <c r="F153" s="112"/>
      <c r="G153" s="112"/>
      <c r="H153" s="112"/>
      <c r="I153" s="112"/>
      <c r="J153" s="112"/>
      <c r="K153" s="112"/>
      <c r="L153" s="112"/>
      <c r="M153" s="112"/>
    </row>
    <row r="154" spans="2:13" x14ac:dyDescent="0.4">
      <c r="B154" s="112"/>
      <c r="C154" s="112"/>
      <c r="D154" s="112"/>
      <c r="E154" s="112"/>
      <c r="F154" s="112"/>
      <c r="G154" s="112"/>
      <c r="H154" s="112"/>
      <c r="I154" s="112"/>
      <c r="J154" s="112"/>
      <c r="K154" s="112"/>
      <c r="L154" s="112"/>
      <c r="M154" s="112"/>
    </row>
    <row r="155" spans="2:13" x14ac:dyDescent="0.4">
      <c r="B155" s="112"/>
      <c r="C155" s="112"/>
      <c r="D155" s="112"/>
      <c r="E155" s="112"/>
      <c r="F155" s="112"/>
      <c r="G155" s="112"/>
      <c r="H155" s="112"/>
      <c r="I155" s="112"/>
      <c r="J155" s="112"/>
      <c r="K155" s="112"/>
      <c r="L155" s="112"/>
      <c r="M155" s="112"/>
    </row>
    <row r="156" spans="2:13" x14ac:dyDescent="0.4">
      <c r="B156" s="112"/>
      <c r="C156" s="112"/>
      <c r="D156" s="112"/>
      <c r="E156" s="112"/>
      <c r="F156" s="112"/>
      <c r="G156" s="112"/>
      <c r="H156" s="112"/>
      <c r="I156" s="112"/>
      <c r="J156" s="112"/>
      <c r="K156" s="112"/>
      <c r="L156" s="112"/>
      <c r="M156" s="112"/>
    </row>
    <row r="157" spans="2:13" x14ac:dyDescent="0.4">
      <c r="B157" s="112"/>
      <c r="C157" s="112"/>
      <c r="D157" s="112"/>
      <c r="E157" s="112"/>
      <c r="F157" s="112"/>
      <c r="G157" s="112"/>
      <c r="H157" s="112"/>
      <c r="I157" s="112"/>
      <c r="J157" s="112"/>
      <c r="K157" s="112"/>
      <c r="L157" s="112"/>
      <c r="M157" s="112"/>
    </row>
    <row r="158" spans="2:13" x14ac:dyDescent="0.4">
      <c r="B158" s="112"/>
      <c r="C158" s="112"/>
      <c r="D158" s="112"/>
      <c r="E158" s="112"/>
      <c r="F158" s="112"/>
      <c r="G158" s="112"/>
      <c r="H158" s="112"/>
      <c r="I158" s="112"/>
      <c r="J158" s="112"/>
      <c r="K158" s="112"/>
      <c r="L158" s="112"/>
      <c r="M158" s="112"/>
    </row>
    <row r="159" spans="2:13" x14ac:dyDescent="0.4">
      <c r="B159" s="112"/>
      <c r="C159" s="112"/>
      <c r="D159" s="112"/>
      <c r="E159" s="112"/>
      <c r="F159" s="112"/>
      <c r="G159" s="112"/>
      <c r="H159" s="112"/>
      <c r="I159" s="112"/>
      <c r="J159" s="112"/>
      <c r="K159" s="112"/>
      <c r="L159" s="112"/>
      <c r="M159" s="112"/>
    </row>
    <row r="160" spans="2:13" x14ac:dyDescent="0.4">
      <c r="B160" s="112"/>
      <c r="C160" s="112"/>
      <c r="D160" s="112"/>
      <c r="E160" s="112"/>
      <c r="F160" s="112"/>
      <c r="G160" s="112"/>
      <c r="H160" s="112"/>
      <c r="I160" s="112"/>
      <c r="J160" s="112"/>
      <c r="K160" s="112"/>
      <c r="L160" s="112"/>
      <c r="M160" s="112"/>
    </row>
    <row r="161" spans="2:13" x14ac:dyDescent="0.4">
      <c r="B161" s="112"/>
      <c r="C161" s="112"/>
      <c r="D161" s="112"/>
      <c r="E161" s="112"/>
      <c r="F161" s="112"/>
      <c r="G161" s="112"/>
      <c r="H161" s="112"/>
      <c r="I161" s="112"/>
      <c r="J161" s="112"/>
      <c r="K161" s="112"/>
      <c r="L161" s="112"/>
      <c r="M161" s="112"/>
    </row>
    <row r="162" spans="2:13" x14ac:dyDescent="0.4">
      <c r="B162" s="112"/>
      <c r="C162" s="112"/>
      <c r="D162" s="112"/>
      <c r="E162" s="112"/>
      <c r="F162" s="112"/>
      <c r="G162" s="112"/>
      <c r="H162" s="112"/>
      <c r="I162" s="112"/>
      <c r="J162" s="112"/>
      <c r="K162" s="112"/>
      <c r="L162" s="112"/>
      <c r="M162" s="112"/>
    </row>
    <row r="163" spans="2:13" x14ac:dyDescent="0.4">
      <c r="B163" s="112"/>
      <c r="C163" s="112"/>
      <c r="D163" s="112"/>
      <c r="E163" s="112"/>
      <c r="F163" s="112"/>
      <c r="G163" s="112"/>
      <c r="H163" s="112"/>
      <c r="I163" s="112"/>
      <c r="J163" s="112"/>
      <c r="K163" s="112"/>
      <c r="L163" s="112"/>
      <c r="M163" s="112"/>
    </row>
    <row r="164" spans="2:13" x14ac:dyDescent="0.4">
      <c r="B164" s="112"/>
      <c r="C164" s="112"/>
      <c r="D164" s="112"/>
      <c r="E164" s="112"/>
      <c r="F164" s="112"/>
      <c r="G164" s="112"/>
      <c r="H164" s="112"/>
      <c r="I164" s="112"/>
      <c r="J164" s="112"/>
      <c r="K164" s="112"/>
      <c r="L164" s="112"/>
      <c r="M164" s="112"/>
    </row>
    <row r="165" spans="2:13" x14ac:dyDescent="0.4">
      <c r="B165" s="112"/>
      <c r="C165" s="112"/>
      <c r="D165" s="112"/>
      <c r="E165" s="112"/>
      <c r="F165" s="112"/>
      <c r="G165" s="112"/>
      <c r="H165" s="112"/>
      <c r="I165" s="112"/>
      <c r="J165" s="112"/>
      <c r="K165" s="112"/>
      <c r="L165" s="112"/>
      <c r="M165" s="112"/>
    </row>
    <row r="166" spans="2:13" x14ac:dyDescent="0.4">
      <c r="B166" s="112"/>
      <c r="C166" s="112"/>
      <c r="D166" s="112"/>
      <c r="E166" s="112"/>
      <c r="F166" s="112"/>
      <c r="G166" s="112"/>
      <c r="H166" s="112"/>
      <c r="I166" s="112"/>
      <c r="J166" s="112"/>
      <c r="K166" s="112"/>
      <c r="L166" s="112"/>
      <c r="M166" s="112"/>
    </row>
    <row r="167" spans="2:13" x14ac:dyDescent="0.4">
      <c r="B167" s="112"/>
      <c r="C167" s="112"/>
      <c r="D167" s="112"/>
      <c r="E167" s="112"/>
      <c r="F167" s="112"/>
      <c r="G167" s="112"/>
      <c r="H167" s="112"/>
      <c r="I167" s="112"/>
      <c r="J167" s="112"/>
      <c r="K167" s="112"/>
      <c r="L167" s="112"/>
      <c r="M167" s="112"/>
    </row>
    <row r="168" spans="2:13" x14ac:dyDescent="0.4">
      <c r="B168" s="112"/>
      <c r="C168" s="112"/>
      <c r="D168" s="112"/>
      <c r="E168" s="112"/>
      <c r="F168" s="112"/>
      <c r="G168" s="112"/>
      <c r="H168" s="112"/>
      <c r="I168" s="112"/>
      <c r="J168" s="112"/>
      <c r="K168" s="112"/>
      <c r="L168" s="112"/>
      <c r="M168" s="112"/>
    </row>
    <row r="169" spans="2:13" x14ac:dyDescent="0.4">
      <c r="B169" s="112"/>
      <c r="C169" s="112"/>
      <c r="D169" s="112"/>
      <c r="E169" s="112"/>
      <c r="F169" s="112"/>
      <c r="G169" s="112"/>
      <c r="H169" s="112"/>
      <c r="I169" s="112"/>
      <c r="J169" s="112"/>
      <c r="K169" s="112"/>
      <c r="L169" s="112"/>
      <c r="M169" s="112"/>
    </row>
    <row r="170" spans="2:13" x14ac:dyDescent="0.4">
      <c r="B170" s="112"/>
      <c r="C170" s="112"/>
      <c r="D170" s="112"/>
      <c r="E170" s="112"/>
      <c r="F170" s="112"/>
      <c r="G170" s="112"/>
      <c r="H170" s="112"/>
      <c r="I170" s="112"/>
      <c r="J170" s="112"/>
      <c r="K170" s="112"/>
      <c r="L170" s="112"/>
      <c r="M170" s="112"/>
    </row>
    <row r="171" spans="2:13" x14ac:dyDescent="0.4">
      <c r="B171" s="112"/>
      <c r="C171" s="112"/>
      <c r="D171" s="112"/>
      <c r="E171" s="112"/>
      <c r="F171" s="112"/>
      <c r="G171" s="112"/>
      <c r="H171" s="112"/>
      <c r="I171" s="112"/>
      <c r="J171" s="112"/>
      <c r="K171" s="112"/>
      <c r="L171" s="112"/>
      <c r="M171" s="112"/>
    </row>
    <row r="172" spans="2:13" x14ac:dyDescent="0.4">
      <c r="B172" s="112"/>
      <c r="C172" s="112"/>
      <c r="D172" s="112"/>
      <c r="E172" s="112"/>
      <c r="F172" s="112"/>
      <c r="G172" s="112"/>
      <c r="H172" s="112"/>
      <c r="I172" s="112"/>
      <c r="J172" s="112"/>
      <c r="K172" s="112"/>
      <c r="L172" s="112"/>
      <c r="M172" s="112"/>
    </row>
    <row r="173" spans="2:13" x14ac:dyDescent="0.4">
      <c r="B173" s="112"/>
      <c r="C173" s="112"/>
      <c r="D173" s="112"/>
      <c r="E173" s="112"/>
      <c r="F173" s="112"/>
      <c r="G173" s="112"/>
      <c r="H173" s="112"/>
      <c r="I173" s="112"/>
      <c r="J173" s="112"/>
      <c r="K173" s="112"/>
      <c r="L173" s="112"/>
      <c r="M173" s="112"/>
    </row>
    <row r="174" spans="2:13" x14ac:dyDescent="0.4">
      <c r="B174" s="112"/>
      <c r="C174" s="112"/>
      <c r="D174" s="112"/>
      <c r="E174" s="112"/>
      <c r="F174" s="112"/>
      <c r="G174" s="112"/>
      <c r="H174" s="112"/>
      <c r="I174" s="112"/>
      <c r="J174" s="112"/>
      <c r="K174" s="112"/>
      <c r="L174" s="112"/>
      <c r="M174" s="112"/>
    </row>
    <row r="175" spans="2:13" x14ac:dyDescent="0.4">
      <c r="B175" s="112"/>
      <c r="C175" s="112"/>
      <c r="D175" s="112"/>
      <c r="E175" s="112"/>
      <c r="F175" s="112"/>
      <c r="G175" s="112"/>
      <c r="H175" s="112"/>
      <c r="I175" s="112"/>
      <c r="J175" s="112"/>
      <c r="K175" s="112"/>
      <c r="L175" s="112"/>
      <c r="M175" s="112"/>
    </row>
    <row r="176" spans="2:13" x14ac:dyDescent="0.4">
      <c r="B176" s="112"/>
      <c r="C176" s="112"/>
      <c r="D176" s="112"/>
      <c r="E176" s="112"/>
      <c r="F176" s="112"/>
      <c r="G176" s="112"/>
      <c r="H176" s="112"/>
      <c r="I176" s="112"/>
      <c r="J176" s="112"/>
      <c r="K176" s="112"/>
      <c r="L176" s="112"/>
      <c r="M176" s="112"/>
    </row>
    <row r="177" spans="2:13" x14ac:dyDescent="0.4">
      <c r="B177" s="112"/>
      <c r="C177" s="112"/>
      <c r="D177" s="112"/>
      <c r="E177" s="112"/>
      <c r="F177" s="112"/>
      <c r="G177" s="112"/>
      <c r="H177" s="112"/>
      <c r="I177" s="112"/>
      <c r="J177" s="112"/>
      <c r="K177" s="112"/>
      <c r="L177" s="112"/>
      <c r="M177" s="112"/>
    </row>
    <row r="178" spans="2:13" x14ac:dyDescent="0.4">
      <c r="B178" s="112"/>
      <c r="C178" s="112"/>
      <c r="D178" s="112"/>
      <c r="E178" s="112"/>
      <c r="F178" s="112"/>
      <c r="G178" s="112"/>
      <c r="H178" s="112"/>
      <c r="I178" s="112"/>
      <c r="J178" s="112"/>
      <c r="K178" s="112"/>
      <c r="L178" s="112"/>
      <c r="M178" s="112"/>
    </row>
    <row r="179" spans="2:13" x14ac:dyDescent="0.4">
      <c r="B179" s="112"/>
      <c r="C179" s="112"/>
      <c r="D179" s="112"/>
      <c r="E179" s="112"/>
      <c r="F179" s="112"/>
      <c r="G179" s="112"/>
      <c r="H179" s="112"/>
      <c r="I179" s="112"/>
      <c r="J179" s="112"/>
      <c r="K179" s="112"/>
      <c r="L179" s="112"/>
      <c r="M179" s="112"/>
    </row>
    <row r="180" spans="2:13" x14ac:dyDescent="0.4">
      <c r="B180" s="112"/>
      <c r="C180" s="112"/>
      <c r="D180" s="112"/>
      <c r="E180" s="112"/>
      <c r="F180" s="112"/>
      <c r="G180" s="112"/>
      <c r="H180" s="112"/>
      <c r="I180" s="112"/>
      <c r="J180" s="112"/>
      <c r="K180" s="112"/>
      <c r="L180" s="112"/>
      <c r="M180" s="112"/>
    </row>
    <row r="181" spans="2:13" x14ac:dyDescent="0.4">
      <c r="B181" s="112"/>
      <c r="C181" s="112"/>
      <c r="D181" s="112"/>
      <c r="E181" s="112"/>
      <c r="F181" s="112"/>
      <c r="G181" s="112"/>
      <c r="H181" s="112"/>
      <c r="I181" s="112"/>
      <c r="J181" s="112"/>
      <c r="K181" s="112"/>
      <c r="L181" s="112"/>
      <c r="M181" s="112"/>
    </row>
    <row r="182" spans="2:13" x14ac:dyDescent="0.4">
      <c r="B182" s="112"/>
      <c r="C182" s="112"/>
      <c r="D182" s="112"/>
      <c r="E182" s="112"/>
      <c r="F182" s="112"/>
      <c r="G182" s="112"/>
      <c r="H182" s="112"/>
      <c r="I182" s="112"/>
      <c r="J182" s="112"/>
      <c r="K182" s="112"/>
      <c r="L182" s="112"/>
      <c r="M182" s="112"/>
    </row>
    <row r="183" spans="2:13" x14ac:dyDescent="0.4">
      <c r="B183" s="112"/>
      <c r="C183" s="112"/>
      <c r="D183" s="112"/>
      <c r="E183" s="112"/>
      <c r="F183" s="112"/>
      <c r="G183" s="112"/>
      <c r="H183" s="112"/>
      <c r="I183" s="112"/>
      <c r="J183" s="112"/>
      <c r="K183" s="112"/>
      <c r="L183" s="112"/>
      <c r="M183" s="112"/>
    </row>
    <row r="184" spans="2:13" x14ac:dyDescent="0.4">
      <c r="B184" s="112"/>
      <c r="C184" s="112"/>
      <c r="D184" s="112"/>
      <c r="E184" s="112"/>
      <c r="F184" s="112"/>
      <c r="G184" s="112"/>
      <c r="H184" s="112"/>
      <c r="I184" s="112"/>
      <c r="J184" s="112"/>
      <c r="K184" s="112"/>
      <c r="L184" s="112"/>
      <c r="M184" s="112"/>
    </row>
    <row r="185" spans="2:13" x14ac:dyDescent="0.4">
      <c r="B185" s="112"/>
      <c r="C185" s="112"/>
      <c r="D185" s="112"/>
      <c r="E185" s="112"/>
      <c r="F185" s="112"/>
      <c r="G185" s="112"/>
      <c r="H185" s="112"/>
      <c r="I185" s="112"/>
      <c r="J185" s="112"/>
      <c r="K185" s="112"/>
      <c r="L185" s="112"/>
      <c r="M185" s="112"/>
    </row>
    <row r="186" spans="2:13" x14ac:dyDescent="0.4">
      <c r="B186" s="112"/>
      <c r="C186" s="112"/>
      <c r="D186" s="112"/>
      <c r="E186" s="112"/>
      <c r="F186" s="112"/>
      <c r="G186" s="112"/>
      <c r="H186" s="112"/>
      <c r="I186" s="112"/>
      <c r="J186" s="112"/>
      <c r="K186" s="112"/>
      <c r="L186" s="112"/>
      <c r="M186" s="112"/>
    </row>
    <row r="187" spans="2:13" x14ac:dyDescent="0.4">
      <c r="B187" s="112"/>
      <c r="C187" s="112"/>
      <c r="D187" s="112"/>
      <c r="E187" s="112"/>
      <c r="F187" s="112"/>
      <c r="G187" s="112"/>
      <c r="H187" s="112"/>
      <c r="I187" s="112"/>
      <c r="J187" s="112"/>
      <c r="K187" s="112"/>
      <c r="L187" s="112"/>
      <c r="M187" s="112"/>
    </row>
    <row r="188" spans="2:13" x14ac:dyDescent="0.4">
      <c r="B188" s="112"/>
      <c r="C188" s="112"/>
      <c r="D188" s="112"/>
      <c r="E188" s="112"/>
      <c r="F188" s="112"/>
      <c r="G188" s="112"/>
      <c r="H188" s="112"/>
      <c r="I188" s="112"/>
      <c r="J188" s="112"/>
      <c r="K188" s="112"/>
      <c r="L188" s="112"/>
      <c r="M188" s="112"/>
    </row>
    <row r="189" spans="2:13" x14ac:dyDescent="0.4">
      <c r="B189" s="112"/>
      <c r="C189" s="112"/>
      <c r="D189" s="112"/>
      <c r="E189" s="112"/>
      <c r="F189" s="112"/>
      <c r="G189" s="112"/>
      <c r="H189" s="112"/>
      <c r="I189" s="112"/>
      <c r="J189" s="112"/>
      <c r="K189" s="112"/>
      <c r="L189" s="112"/>
      <c r="M189" s="112"/>
    </row>
    <row r="190" spans="2:13" x14ac:dyDescent="0.4">
      <c r="B190" s="112"/>
      <c r="C190" s="112"/>
      <c r="D190" s="112"/>
      <c r="E190" s="112"/>
      <c r="F190" s="112"/>
      <c r="G190" s="112"/>
      <c r="H190" s="112"/>
      <c r="I190" s="112"/>
      <c r="J190" s="112"/>
      <c r="K190" s="112"/>
      <c r="L190" s="112"/>
      <c r="M190" s="112"/>
    </row>
    <row r="191" spans="2:13" x14ac:dyDescent="0.4">
      <c r="B191" s="112"/>
      <c r="C191" s="112"/>
      <c r="D191" s="112"/>
      <c r="E191" s="112"/>
      <c r="F191" s="112"/>
      <c r="G191" s="112"/>
      <c r="H191" s="112"/>
      <c r="I191" s="112"/>
      <c r="J191" s="112"/>
      <c r="K191" s="112"/>
      <c r="L191" s="112"/>
      <c r="M191" s="112"/>
    </row>
    <row r="192" spans="2:13" x14ac:dyDescent="0.4">
      <c r="B192" s="112"/>
      <c r="C192" s="112"/>
      <c r="D192" s="112"/>
      <c r="E192" s="112"/>
      <c r="F192" s="112"/>
      <c r="G192" s="112"/>
      <c r="H192" s="112"/>
      <c r="I192" s="112"/>
      <c r="J192" s="112"/>
      <c r="K192" s="112"/>
      <c r="L192" s="112"/>
      <c r="M192" s="112"/>
    </row>
    <row r="193" spans="2:13" x14ac:dyDescent="0.4">
      <c r="B193" s="112"/>
      <c r="C193" s="112"/>
      <c r="D193" s="112"/>
      <c r="E193" s="112"/>
      <c r="F193" s="112"/>
      <c r="G193" s="112"/>
      <c r="H193" s="112"/>
      <c r="I193" s="112"/>
      <c r="J193" s="112"/>
      <c r="K193" s="112"/>
      <c r="L193" s="112"/>
      <c r="M193" s="112"/>
    </row>
    <row r="194" spans="2:13" x14ac:dyDescent="0.4">
      <c r="B194" s="112"/>
      <c r="C194" s="112"/>
      <c r="D194" s="112"/>
      <c r="E194" s="112"/>
      <c r="F194" s="112"/>
      <c r="G194" s="112"/>
      <c r="H194" s="112"/>
      <c r="I194" s="112"/>
      <c r="J194" s="112"/>
      <c r="K194" s="112"/>
      <c r="L194" s="112"/>
      <c r="M194" s="112"/>
    </row>
    <row r="195" spans="2:13" x14ac:dyDescent="0.4">
      <c r="B195" s="112"/>
      <c r="C195" s="112"/>
      <c r="D195" s="112"/>
      <c r="E195" s="112"/>
      <c r="F195" s="112"/>
      <c r="G195" s="112"/>
      <c r="H195" s="112"/>
      <c r="I195" s="112"/>
      <c r="J195" s="112"/>
      <c r="K195" s="112"/>
      <c r="L195" s="112"/>
      <c r="M195" s="112"/>
    </row>
    <row r="196" spans="2:13" x14ac:dyDescent="0.4">
      <c r="B196" s="112"/>
      <c r="C196" s="112"/>
      <c r="D196" s="112"/>
      <c r="E196" s="112"/>
      <c r="F196" s="112"/>
      <c r="G196" s="112"/>
      <c r="H196" s="112"/>
      <c r="I196" s="112"/>
      <c r="J196" s="112"/>
      <c r="K196" s="112"/>
      <c r="L196" s="112"/>
      <c r="M196" s="112"/>
    </row>
    <row r="197" spans="2:13" x14ac:dyDescent="0.4">
      <c r="B197" s="112"/>
      <c r="C197" s="112"/>
      <c r="D197" s="112"/>
      <c r="E197" s="112"/>
      <c r="F197" s="112"/>
      <c r="G197" s="112"/>
      <c r="H197" s="112"/>
      <c r="I197" s="112"/>
      <c r="J197" s="112"/>
      <c r="K197" s="112"/>
      <c r="L197" s="112"/>
      <c r="M197" s="112"/>
    </row>
    <row r="198" spans="2:13" x14ac:dyDescent="0.4">
      <c r="B198" s="112"/>
      <c r="C198" s="112"/>
      <c r="D198" s="112"/>
      <c r="E198" s="112"/>
      <c r="F198" s="112"/>
      <c r="G198" s="112"/>
      <c r="H198" s="112"/>
      <c r="I198" s="112"/>
      <c r="J198" s="112"/>
      <c r="K198" s="112"/>
      <c r="L198" s="112"/>
      <c r="M198" s="112"/>
    </row>
    <row r="199" spans="2:13" x14ac:dyDescent="0.4">
      <c r="B199" s="112"/>
      <c r="C199" s="112"/>
      <c r="D199" s="112"/>
      <c r="E199" s="112"/>
      <c r="F199" s="112"/>
      <c r="G199" s="112"/>
      <c r="H199" s="112"/>
      <c r="I199" s="112"/>
      <c r="J199" s="112"/>
      <c r="K199" s="112"/>
      <c r="L199" s="112"/>
      <c r="M199" s="112"/>
    </row>
    <row r="200" spans="2:13" x14ac:dyDescent="0.4">
      <c r="B200" s="112"/>
      <c r="C200" s="112"/>
      <c r="D200" s="112"/>
      <c r="E200" s="112"/>
      <c r="F200" s="112"/>
      <c r="G200" s="112"/>
      <c r="H200" s="112"/>
      <c r="I200" s="112"/>
      <c r="J200" s="112"/>
      <c r="K200" s="112"/>
      <c r="L200" s="112"/>
      <c r="M200" s="112"/>
    </row>
    <row r="201" spans="2:13" x14ac:dyDescent="0.4">
      <c r="B201" s="112"/>
      <c r="C201" s="112"/>
      <c r="D201" s="112"/>
      <c r="E201" s="112"/>
      <c r="F201" s="112"/>
      <c r="G201" s="112"/>
      <c r="H201" s="112"/>
      <c r="I201" s="112"/>
      <c r="J201" s="112"/>
      <c r="K201" s="112"/>
      <c r="L201" s="112"/>
      <c r="M201" s="112"/>
    </row>
    <row r="202" spans="2:13" x14ac:dyDescent="0.4">
      <c r="B202" s="112"/>
      <c r="C202" s="112"/>
      <c r="D202" s="112"/>
      <c r="E202" s="112"/>
      <c r="F202" s="112"/>
      <c r="G202" s="112"/>
      <c r="H202" s="112"/>
      <c r="I202" s="112"/>
      <c r="J202" s="112"/>
      <c r="K202" s="112"/>
      <c r="L202" s="112"/>
      <c r="M202" s="112"/>
    </row>
    <row r="203" spans="2:13" x14ac:dyDescent="0.4">
      <c r="B203" s="112"/>
      <c r="C203" s="112"/>
      <c r="D203" s="112"/>
      <c r="E203" s="112"/>
      <c r="F203" s="112"/>
      <c r="G203" s="112"/>
      <c r="H203" s="112"/>
      <c r="I203" s="112"/>
      <c r="J203" s="112"/>
      <c r="K203" s="112"/>
      <c r="L203" s="112"/>
      <c r="M203" s="112"/>
    </row>
    <row r="204" spans="2:13" x14ac:dyDescent="0.4">
      <c r="B204" s="112"/>
      <c r="C204" s="112"/>
      <c r="D204" s="112"/>
      <c r="E204" s="112"/>
      <c r="F204" s="112"/>
      <c r="G204" s="112"/>
      <c r="H204" s="112"/>
      <c r="I204" s="112"/>
      <c r="J204" s="112"/>
      <c r="K204" s="112"/>
      <c r="L204" s="112"/>
      <c r="M204" s="112"/>
    </row>
    <row r="205" spans="2:13" x14ac:dyDescent="0.4">
      <c r="B205" s="112"/>
      <c r="C205" s="112"/>
      <c r="D205" s="112"/>
      <c r="E205" s="112"/>
      <c r="F205" s="112"/>
      <c r="G205" s="112"/>
      <c r="H205" s="112"/>
      <c r="I205" s="112"/>
      <c r="J205" s="112"/>
      <c r="K205" s="112"/>
      <c r="L205" s="112"/>
      <c r="M205" s="112"/>
    </row>
    <row r="206" spans="2:13" x14ac:dyDescent="0.4">
      <c r="B206" s="112"/>
      <c r="C206" s="112"/>
      <c r="D206" s="112"/>
      <c r="E206" s="112"/>
      <c r="F206" s="112"/>
      <c r="G206" s="112"/>
      <c r="H206" s="112"/>
      <c r="I206" s="112"/>
      <c r="J206" s="112"/>
      <c r="K206" s="112"/>
      <c r="L206" s="112"/>
      <c r="M206" s="112"/>
    </row>
    <row r="207" spans="2:13" x14ac:dyDescent="0.4">
      <c r="B207" s="112"/>
      <c r="C207" s="112"/>
      <c r="D207" s="112"/>
      <c r="E207" s="112"/>
      <c r="F207" s="112"/>
      <c r="G207" s="112"/>
      <c r="H207" s="112"/>
      <c r="I207" s="112"/>
      <c r="J207" s="112"/>
      <c r="K207" s="112"/>
      <c r="L207" s="112"/>
      <c r="M207" s="112"/>
    </row>
    <row r="208" spans="2:13" x14ac:dyDescent="0.4">
      <c r="B208" s="112"/>
      <c r="C208" s="112"/>
      <c r="D208" s="112"/>
      <c r="E208" s="112"/>
      <c r="F208" s="112"/>
      <c r="G208" s="112"/>
      <c r="H208" s="112"/>
      <c r="I208" s="112"/>
      <c r="J208" s="112"/>
      <c r="K208" s="112"/>
      <c r="L208" s="112"/>
      <c r="M208" s="112"/>
    </row>
    <row r="209" spans="2:13" x14ac:dyDescent="0.4">
      <c r="B209" s="112"/>
      <c r="C209" s="112"/>
      <c r="D209" s="112"/>
      <c r="E209" s="112"/>
      <c r="F209" s="112"/>
      <c r="G209" s="112"/>
      <c r="H209" s="112"/>
      <c r="I209" s="112"/>
      <c r="J209" s="112"/>
      <c r="K209" s="112"/>
      <c r="L209" s="112"/>
      <c r="M209" s="112"/>
    </row>
    <row r="210" spans="2:13" x14ac:dyDescent="0.4">
      <c r="B210" s="112"/>
      <c r="C210" s="112"/>
      <c r="D210" s="112"/>
      <c r="E210" s="112"/>
      <c r="F210" s="112"/>
      <c r="G210" s="112"/>
      <c r="H210" s="112"/>
      <c r="I210" s="112"/>
      <c r="J210" s="112"/>
      <c r="K210" s="112"/>
      <c r="L210" s="112"/>
      <c r="M210" s="112"/>
    </row>
    <row r="211" spans="2:13" x14ac:dyDescent="0.4">
      <c r="B211" s="112"/>
      <c r="C211" s="112"/>
      <c r="D211" s="112"/>
      <c r="E211" s="112"/>
      <c r="F211" s="112"/>
      <c r="G211" s="112"/>
      <c r="H211" s="112"/>
      <c r="I211" s="112"/>
      <c r="J211" s="112"/>
      <c r="K211" s="112"/>
      <c r="L211" s="112"/>
      <c r="M211" s="112"/>
    </row>
    <row r="212" spans="2:13" x14ac:dyDescent="0.4">
      <c r="B212" s="112"/>
      <c r="C212" s="112"/>
      <c r="D212" s="112"/>
      <c r="E212" s="112"/>
      <c r="F212" s="112"/>
      <c r="G212" s="112"/>
      <c r="H212" s="112"/>
      <c r="I212" s="112"/>
      <c r="J212" s="112"/>
      <c r="K212" s="112"/>
      <c r="L212" s="112"/>
      <c r="M212" s="112"/>
    </row>
    <row r="213" spans="2:13" x14ac:dyDescent="0.4">
      <c r="B213" s="112"/>
      <c r="C213" s="112"/>
      <c r="D213" s="112"/>
      <c r="E213" s="112"/>
      <c r="F213" s="112"/>
      <c r="G213" s="112"/>
      <c r="H213" s="112"/>
      <c r="I213" s="112"/>
      <c r="J213" s="112"/>
      <c r="K213" s="112"/>
      <c r="L213" s="112"/>
      <c r="M213" s="112"/>
    </row>
    <row r="214" spans="2:13" x14ac:dyDescent="0.4">
      <c r="B214" s="112"/>
      <c r="C214" s="112"/>
      <c r="D214" s="112"/>
      <c r="E214" s="112"/>
      <c r="F214" s="112"/>
      <c r="G214" s="112"/>
      <c r="H214" s="112"/>
      <c r="I214" s="112"/>
      <c r="J214" s="112"/>
      <c r="K214" s="112"/>
      <c r="L214" s="112"/>
      <c r="M214" s="112"/>
    </row>
    <row r="215" spans="2:13" x14ac:dyDescent="0.4">
      <c r="B215" s="112"/>
      <c r="C215" s="112"/>
      <c r="D215" s="112"/>
      <c r="E215" s="112"/>
      <c r="F215" s="112"/>
      <c r="G215" s="112"/>
      <c r="H215" s="112"/>
      <c r="I215" s="112"/>
      <c r="J215" s="112"/>
      <c r="K215" s="112"/>
      <c r="L215" s="112"/>
      <c r="M215" s="112"/>
    </row>
    <row r="216" spans="2:13" x14ac:dyDescent="0.4">
      <c r="B216" s="112"/>
      <c r="C216" s="112"/>
      <c r="D216" s="112"/>
      <c r="E216" s="112"/>
      <c r="F216" s="112"/>
      <c r="G216" s="112"/>
      <c r="H216" s="112"/>
      <c r="I216" s="112"/>
      <c r="J216" s="112"/>
      <c r="K216" s="112"/>
      <c r="L216" s="112"/>
      <c r="M216" s="112"/>
    </row>
    <row r="217" spans="2:13" x14ac:dyDescent="0.4">
      <c r="B217" s="112"/>
      <c r="C217" s="112"/>
      <c r="D217" s="112"/>
      <c r="E217" s="112"/>
      <c r="F217" s="112"/>
      <c r="G217" s="112"/>
      <c r="H217" s="112"/>
      <c r="I217" s="112"/>
      <c r="J217" s="112"/>
      <c r="K217" s="112"/>
      <c r="L217" s="112"/>
      <c r="M217" s="112"/>
    </row>
    <row r="218" spans="2:13" x14ac:dyDescent="0.4">
      <c r="B218" s="112"/>
      <c r="C218" s="112"/>
      <c r="D218" s="112"/>
      <c r="E218" s="112"/>
      <c r="F218" s="112"/>
      <c r="G218" s="112"/>
      <c r="H218" s="112"/>
      <c r="I218" s="112"/>
      <c r="J218" s="112"/>
      <c r="K218" s="112"/>
      <c r="L218" s="112"/>
      <c r="M218" s="112"/>
    </row>
    <row r="219" spans="2:13" x14ac:dyDescent="0.4">
      <c r="B219" s="112"/>
      <c r="C219" s="112"/>
      <c r="D219" s="112"/>
      <c r="E219" s="112"/>
      <c r="F219" s="112"/>
      <c r="G219" s="112"/>
      <c r="H219" s="112"/>
      <c r="I219" s="112"/>
      <c r="J219" s="112"/>
      <c r="K219" s="112"/>
      <c r="L219" s="112"/>
      <c r="M219" s="112"/>
    </row>
    <row r="220" spans="2:13" x14ac:dyDescent="0.4">
      <c r="B220" s="112"/>
      <c r="C220" s="112"/>
      <c r="D220" s="112"/>
      <c r="E220" s="112"/>
      <c r="F220" s="112"/>
      <c r="G220" s="112"/>
      <c r="H220" s="112"/>
      <c r="I220" s="112"/>
      <c r="J220" s="112"/>
      <c r="K220" s="112"/>
      <c r="L220" s="112"/>
      <c r="M220" s="112"/>
    </row>
    <row r="221" spans="2:13" x14ac:dyDescent="0.4">
      <c r="B221" s="112"/>
      <c r="C221" s="112"/>
      <c r="D221" s="112"/>
      <c r="E221" s="112"/>
      <c r="F221" s="112"/>
      <c r="G221" s="112"/>
      <c r="H221" s="112"/>
      <c r="I221" s="112"/>
      <c r="J221" s="112"/>
      <c r="K221" s="112"/>
      <c r="L221" s="112"/>
      <c r="M221" s="112"/>
    </row>
    <row r="222" spans="2:13" x14ac:dyDescent="0.4">
      <c r="B222" s="112"/>
      <c r="C222" s="112"/>
      <c r="D222" s="112"/>
      <c r="E222" s="112"/>
      <c r="F222" s="112"/>
      <c r="G222" s="112"/>
      <c r="H222" s="112"/>
      <c r="I222" s="112"/>
      <c r="J222" s="112"/>
      <c r="K222" s="112"/>
      <c r="L222" s="112"/>
      <c r="M222" s="112"/>
    </row>
    <row r="223" spans="2:13" x14ac:dyDescent="0.4">
      <c r="B223" s="112"/>
      <c r="C223" s="112"/>
      <c r="D223" s="112"/>
      <c r="E223" s="112"/>
      <c r="F223" s="112"/>
      <c r="G223" s="112"/>
      <c r="H223" s="112"/>
      <c r="I223" s="112"/>
      <c r="J223" s="112"/>
      <c r="K223" s="112"/>
      <c r="L223" s="112"/>
      <c r="M223" s="112"/>
    </row>
    <row r="224" spans="2:13" x14ac:dyDescent="0.4">
      <c r="B224" s="112"/>
      <c r="C224" s="112"/>
      <c r="D224" s="112"/>
      <c r="E224" s="112"/>
      <c r="F224" s="112"/>
      <c r="G224" s="112"/>
      <c r="H224" s="112"/>
      <c r="I224" s="112"/>
      <c r="J224" s="112"/>
      <c r="K224" s="112"/>
      <c r="L224" s="112"/>
      <c r="M224" s="112"/>
    </row>
    <row r="225" spans="2:13" x14ac:dyDescent="0.4">
      <c r="B225" s="112"/>
      <c r="C225" s="112"/>
      <c r="D225" s="112"/>
      <c r="E225" s="112"/>
      <c r="F225" s="112"/>
      <c r="G225" s="112"/>
      <c r="H225" s="112"/>
      <c r="I225" s="112"/>
      <c r="J225" s="112"/>
      <c r="K225" s="112"/>
      <c r="L225" s="112"/>
      <c r="M225" s="112"/>
    </row>
    <row r="226" spans="2:13" x14ac:dyDescent="0.4">
      <c r="B226" s="112"/>
      <c r="C226" s="112"/>
      <c r="D226" s="112"/>
      <c r="E226" s="112"/>
      <c r="F226" s="112"/>
      <c r="G226" s="112"/>
      <c r="H226" s="112"/>
      <c r="I226" s="112"/>
      <c r="J226" s="112"/>
      <c r="K226" s="112"/>
      <c r="L226" s="112"/>
      <c r="M226" s="112"/>
    </row>
    <row r="227" spans="2:13" x14ac:dyDescent="0.4">
      <c r="B227" s="112"/>
      <c r="C227" s="112"/>
      <c r="D227" s="112"/>
      <c r="E227" s="112"/>
      <c r="F227" s="112"/>
      <c r="G227" s="112"/>
      <c r="H227" s="112"/>
      <c r="I227" s="112"/>
      <c r="J227" s="112"/>
      <c r="K227" s="112"/>
      <c r="L227" s="112"/>
      <c r="M227" s="112"/>
    </row>
    <row r="228" spans="2:13" x14ac:dyDescent="0.4">
      <c r="B228" s="112"/>
      <c r="C228" s="112"/>
      <c r="D228" s="112"/>
      <c r="E228" s="112"/>
      <c r="F228" s="112"/>
      <c r="G228" s="112"/>
      <c r="H228" s="112"/>
      <c r="I228" s="112"/>
      <c r="J228" s="112"/>
      <c r="K228" s="112"/>
      <c r="L228" s="112"/>
      <c r="M228" s="112"/>
    </row>
    <row r="229" spans="2:13" x14ac:dyDescent="0.4">
      <c r="B229" s="112"/>
      <c r="C229" s="112"/>
      <c r="D229" s="112"/>
      <c r="E229" s="112"/>
      <c r="F229" s="112"/>
      <c r="G229" s="112"/>
      <c r="H229" s="112"/>
      <c r="I229" s="112"/>
      <c r="J229" s="112"/>
      <c r="K229" s="112"/>
      <c r="L229" s="112"/>
      <c r="M229" s="112"/>
    </row>
    <row r="230" spans="2:13" x14ac:dyDescent="0.4">
      <c r="B230" s="112"/>
      <c r="C230" s="112"/>
      <c r="D230" s="112"/>
      <c r="E230" s="112"/>
      <c r="F230" s="112"/>
      <c r="G230" s="112"/>
      <c r="H230" s="112"/>
      <c r="I230" s="112"/>
      <c r="J230" s="112"/>
      <c r="K230" s="112"/>
      <c r="L230" s="112"/>
      <c r="M230" s="112"/>
    </row>
    <row r="231" spans="2:13" x14ac:dyDescent="0.4">
      <c r="B231" s="112"/>
      <c r="C231" s="112"/>
      <c r="D231" s="112"/>
      <c r="E231" s="112"/>
      <c r="F231" s="112"/>
      <c r="G231" s="112"/>
      <c r="H231" s="112"/>
      <c r="I231" s="112"/>
      <c r="J231" s="112"/>
      <c r="K231" s="112"/>
      <c r="L231" s="112"/>
      <c r="M231" s="112"/>
    </row>
    <row r="232" spans="2:13" x14ac:dyDescent="0.4">
      <c r="B232" s="112"/>
      <c r="C232" s="112"/>
      <c r="D232" s="112"/>
      <c r="E232" s="112"/>
      <c r="F232" s="112"/>
      <c r="G232" s="112"/>
      <c r="H232" s="112"/>
      <c r="I232" s="112"/>
      <c r="J232" s="112"/>
      <c r="K232" s="112"/>
      <c r="L232" s="112"/>
      <c r="M232" s="112"/>
    </row>
    <row r="233" spans="2:13" x14ac:dyDescent="0.4">
      <c r="B233" s="112"/>
      <c r="C233" s="112"/>
      <c r="D233" s="112"/>
      <c r="E233" s="112"/>
      <c r="F233" s="112"/>
      <c r="G233" s="112"/>
      <c r="H233" s="112"/>
      <c r="I233" s="112"/>
      <c r="J233" s="112"/>
      <c r="K233" s="112"/>
      <c r="L233" s="112"/>
      <c r="M233" s="112"/>
    </row>
    <row r="234" spans="2:13" x14ac:dyDescent="0.4">
      <c r="B234" s="112"/>
      <c r="C234" s="112"/>
      <c r="D234" s="112"/>
      <c r="E234" s="112"/>
      <c r="F234" s="112"/>
      <c r="G234" s="112"/>
      <c r="H234" s="112"/>
      <c r="I234" s="112"/>
      <c r="J234" s="112"/>
      <c r="K234" s="112"/>
      <c r="L234" s="112"/>
      <c r="M234" s="112"/>
    </row>
    <row r="235" spans="2:13" x14ac:dyDescent="0.4">
      <c r="B235" s="112"/>
      <c r="C235" s="112"/>
      <c r="D235" s="112"/>
      <c r="E235" s="112"/>
      <c r="F235" s="112"/>
      <c r="G235" s="112"/>
      <c r="H235" s="112"/>
      <c r="I235" s="112"/>
      <c r="J235" s="112"/>
      <c r="K235" s="112"/>
      <c r="L235" s="112"/>
      <c r="M235" s="112"/>
    </row>
    <row r="236" spans="2:13" x14ac:dyDescent="0.4">
      <c r="B236" s="112"/>
      <c r="C236" s="112"/>
      <c r="D236" s="112"/>
      <c r="E236" s="112"/>
      <c r="F236" s="112"/>
      <c r="G236" s="112"/>
      <c r="H236" s="112"/>
      <c r="I236" s="112"/>
      <c r="J236" s="112"/>
      <c r="K236" s="112"/>
      <c r="L236" s="112"/>
      <c r="M236" s="112"/>
    </row>
    <row r="237" spans="2:13" x14ac:dyDescent="0.4">
      <c r="B237" s="112"/>
      <c r="C237" s="112"/>
      <c r="D237" s="112"/>
      <c r="E237" s="112"/>
      <c r="F237" s="112"/>
      <c r="G237" s="112"/>
      <c r="H237" s="112"/>
      <c r="I237" s="112"/>
      <c r="J237" s="112"/>
      <c r="K237" s="112"/>
      <c r="L237" s="112"/>
      <c r="M237" s="112"/>
    </row>
    <row r="238" spans="2:13" x14ac:dyDescent="0.4">
      <c r="B238" s="112"/>
      <c r="C238" s="112"/>
      <c r="D238" s="112"/>
      <c r="E238" s="112"/>
      <c r="F238" s="112"/>
      <c r="G238" s="112"/>
      <c r="H238" s="112"/>
      <c r="I238" s="112"/>
      <c r="J238" s="112"/>
      <c r="K238" s="112"/>
      <c r="L238" s="112"/>
      <c r="M238" s="112"/>
    </row>
    <row r="239" spans="2:13" x14ac:dyDescent="0.4">
      <c r="B239" s="112"/>
      <c r="C239" s="112"/>
      <c r="D239" s="112"/>
      <c r="E239" s="112"/>
      <c r="F239" s="112"/>
      <c r="G239" s="112"/>
      <c r="H239" s="112"/>
      <c r="I239" s="112"/>
      <c r="J239" s="112"/>
      <c r="K239" s="112"/>
      <c r="L239" s="112"/>
      <c r="M239" s="112"/>
    </row>
    <row r="240" spans="2:13" x14ac:dyDescent="0.4">
      <c r="B240" s="112"/>
      <c r="C240" s="112"/>
      <c r="D240" s="112"/>
      <c r="E240" s="112"/>
      <c r="F240" s="112"/>
      <c r="G240" s="112"/>
      <c r="H240" s="112"/>
      <c r="I240" s="112"/>
      <c r="J240" s="112"/>
      <c r="K240" s="112"/>
      <c r="L240" s="112"/>
      <c r="M240" s="112"/>
    </row>
    <row r="241" spans="2:13" x14ac:dyDescent="0.4">
      <c r="B241" s="112"/>
      <c r="C241" s="112"/>
      <c r="D241" s="112"/>
      <c r="E241" s="112"/>
      <c r="F241" s="112"/>
      <c r="G241" s="112"/>
      <c r="H241" s="112"/>
      <c r="I241" s="112"/>
      <c r="J241" s="112"/>
      <c r="K241" s="112"/>
      <c r="L241" s="112"/>
      <c r="M241" s="112"/>
    </row>
    <row r="242" spans="2:13" x14ac:dyDescent="0.4">
      <c r="B242" s="112"/>
      <c r="C242" s="112"/>
      <c r="D242" s="112"/>
      <c r="E242" s="112"/>
      <c r="F242" s="112"/>
      <c r="G242" s="112"/>
      <c r="H242" s="112"/>
      <c r="I242" s="112"/>
      <c r="J242" s="112"/>
      <c r="K242" s="112"/>
      <c r="L242" s="112"/>
      <c r="M242" s="112"/>
    </row>
    <row r="243" spans="2:13" x14ac:dyDescent="0.4">
      <c r="B243" s="112"/>
      <c r="C243" s="112"/>
      <c r="D243" s="112"/>
      <c r="E243" s="112"/>
      <c r="F243" s="112"/>
      <c r="G243" s="112"/>
      <c r="H243" s="112"/>
      <c r="I243" s="112"/>
      <c r="J243" s="112"/>
      <c r="K243" s="112"/>
      <c r="L243" s="112"/>
      <c r="M243" s="112"/>
    </row>
    <row r="244" spans="2:13" x14ac:dyDescent="0.4">
      <c r="B244" s="112"/>
      <c r="C244" s="112"/>
      <c r="D244" s="112"/>
      <c r="E244" s="112"/>
      <c r="F244" s="112"/>
      <c r="G244" s="112"/>
      <c r="H244" s="112"/>
      <c r="I244" s="112"/>
      <c r="J244" s="112"/>
      <c r="K244" s="112"/>
      <c r="L244" s="112"/>
      <c r="M244" s="112"/>
    </row>
    <row r="245" spans="2:13" x14ac:dyDescent="0.4">
      <c r="B245" s="112"/>
      <c r="C245" s="112"/>
      <c r="D245" s="112"/>
      <c r="E245" s="112"/>
      <c r="F245" s="112"/>
      <c r="G245" s="112"/>
      <c r="H245" s="112"/>
      <c r="I245" s="112"/>
      <c r="J245" s="112"/>
      <c r="K245" s="112"/>
      <c r="L245" s="112"/>
      <c r="M245" s="112"/>
    </row>
    <row r="246" spans="2:13" x14ac:dyDescent="0.4">
      <c r="B246" s="112"/>
      <c r="C246" s="112"/>
      <c r="D246" s="112"/>
      <c r="E246" s="112"/>
      <c r="F246" s="112"/>
      <c r="G246" s="112"/>
      <c r="H246" s="112"/>
      <c r="I246" s="112"/>
      <c r="J246" s="112"/>
      <c r="K246" s="112"/>
      <c r="L246" s="112"/>
      <c r="M246" s="112"/>
    </row>
    <row r="247" spans="2:13" x14ac:dyDescent="0.4">
      <c r="B247" s="112"/>
      <c r="C247" s="112"/>
      <c r="D247" s="112"/>
      <c r="E247" s="112"/>
      <c r="F247" s="112"/>
      <c r="G247" s="112"/>
      <c r="H247" s="112"/>
      <c r="I247" s="112"/>
      <c r="J247" s="112"/>
      <c r="K247" s="112"/>
      <c r="L247" s="112"/>
      <c r="M247" s="112"/>
    </row>
    <row r="248" spans="2:13" x14ac:dyDescent="0.4">
      <c r="B248" s="112"/>
      <c r="C248" s="112"/>
      <c r="D248" s="112"/>
      <c r="E248" s="112"/>
      <c r="F248" s="112"/>
      <c r="G248" s="112"/>
      <c r="H248" s="112"/>
      <c r="I248" s="112"/>
      <c r="J248" s="112"/>
      <c r="K248" s="112"/>
      <c r="L248" s="112"/>
      <c r="M248" s="112"/>
    </row>
    <row r="249" spans="2:13" x14ac:dyDescent="0.4">
      <c r="B249" s="112"/>
      <c r="C249" s="112"/>
      <c r="D249" s="112"/>
      <c r="E249" s="112"/>
      <c r="F249" s="112"/>
      <c r="G249" s="112"/>
      <c r="H249" s="112"/>
      <c r="I249" s="112"/>
      <c r="J249" s="112"/>
      <c r="K249" s="112"/>
      <c r="L249" s="112"/>
      <c r="M249" s="112"/>
    </row>
    <row r="250" spans="2:13" x14ac:dyDescent="0.4">
      <c r="B250" s="112"/>
      <c r="C250" s="112"/>
      <c r="D250" s="112"/>
      <c r="E250" s="112"/>
      <c r="F250" s="112"/>
      <c r="G250" s="112"/>
      <c r="H250" s="112"/>
      <c r="I250" s="112"/>
      <c r="J250" s="112"/>
      <c r="K250" s="112"/>
      <c r="L250" s="112"/>
      <c r="M250" s="112"/>
    </row>
    <row r="251" spans="2:13" x14ac:dyDescent="0.4">
      <c r="B251" s="112"/>
      <c r="C251" s="112"/>
      <c r="D251" s="112"/>
      <c r="E251" s="112"/>
      <c r="F251" s="112"/>
      <c r="G251" s="112"/>
      <c r="H251" s="112"/>
      <c r="I251" s="112"/>
      <c r="J251" s="112"/>
      <c r="K251" s="112"/>
      <c r="L251" s="112"/>
      <c r="M251" s="112"/>
    </row>
    <row r="252" spans="2:13" x14ac:dyDescent="0.4">
      <c r="B252" s="112"/>
      <c r="C252" s="112"/>
      <c r="D252" s="112"/>
      <c r="E252" s="112"/>
      <c r="F252" s="112"/>
      <c r="G252" s="112"/>
      <c r="H252" s="112"/>
      <c r="I252" s="112"/>
      <c r="J252" s="112"/>
      <c r="K252" s="112"/>
      <c r="L252" s="112"/>
      <c r="M252" s="112"/>
    </row>
    <row r="253" spans="2:13" x14ac:dyDescent="0.4">
      <c r="B253" s="112"/>
      <c r="C253" s="112"/>
      <c r="D253" s="112"/>
      <c r="E253" s="112"/>
      <c r="F253" s="112"/>
      <c r="G253" s="112"/>
      <c r="H253" s="112"/>
      <c r="I253" s="112"/>
      <c r="J253" s="112"/>
      <c r="K253" s="112"/>
      <c r="L253" s="112"/>
      <c r="M253" s="112"/>
    </row>
    <row r="254" spans="2:13" x14ac:dyDescent="0.4">
      <c r="B254" s="112"/>
      <c r="C254" s="112"/>
      <c r="D254" s="112"/>
      <c r="E254" s="112"/>
      <c r="F254" s="112"/>
      <c r="G254" s="112"/>
      <c r="H254" s="112"/>
      <c r="I254" s="112"/>
      <c r="J254" s="112"/>
      <c r="K254" s="112"/>
      <c r="L254" s="112"/>
      <c r="M254" s="112"/>
    </row>
    <row r="255" spans="2:13" x14ac:dyDescent="0.4">
      <c r="B255" s="112"/>
      <c r="C255" s="112"/>
      <c r="D255" s="112"/>
      <c r="E255" s="112"/>
      <c r="F255" s="112"/>
      <c r="G255" s="112"/>
      <c r="H255" s="112"/>
      <c r="I255" s="112"/>
      <c r="J255" s="112"/>
      <c r="K255" s="112"/>
      <c r="L255" s="112"/>
      <c r="M255" s="112"/>
    </row>
    <row r="256" spans="2:13" x14ac:dyDescent="0.4">
      <c r="B256" s="112"/>
      <c r="C256" s="112"/>
      <c r="D256" s="112"/>
      <c r="E256" s="112"/>
      <c r="F256" s="112"/>
      <c r="G256" s="112"/>
      <c r="H256" s="112"/>
      <c r="I256" s="112"/>
      <c r="J256" s="112"/>
      <c r="K256" s="112"/>
      <c r="L256" s="112"/>
      <c r="M256" s="112"/>
    </row>
    <row r="257" spans="2:13" x14ac:dyDescent="0.4">
      <c r="B257" s="112"/>
      <c r="C257" s="112"/>
      <c r="D257" s="112"/>
      <c r="E257" s="112"/>
      <c r="F257" s="112"/>
      <c r="G257" s="112"/>
      <c r="H257" s="112"/>
      <c r="I257" s="112"/>
      <c r="J257" s="112"/>
      <c r="K257" s="112"/>
      <c r="L257" s="112"/>
      <c r="M257" s="112"/>
    </row>
    <row r="258" spans="2:13" x14ac:dyDescent="0.4">
      <c r="B258" s="112"/>
      <c r="C258" s="112"/>
      <c r="D258" s="112"/>
      <c r="E258" s="112"/>
      <c r="F258" s="112"/>
      <c r="G258" s="112"/>
      <c r="H258" s="112"/>
      <c r="I258" s="112"/>
      <c r="J258" s="112"/>
      <c r="K258" s="112"/>
      <c r="L258" s="112"/>
      <c r="M258" s="112"/>
    </row>
    <row r="259" spans="2:13" x14ac:dyDescent="0.4">
      <c r="B259" s="112"/>
      <c r="C259" s="112"/>
      <c r="D259" s="112"/>
      <c r="E259" s="112"/>
      <c r="F259" s="112"/>
      <c r="G259" s="112"/>
      <c r="H259" s="112"/>
      <c r="I259" s="112"/>
      <c r="J259" s="112"/>
      <c r="K259" s="112"/>
      <c r="L259" s="112"/>
      <c r="M259" s="112"/>
    </row>
    <row r="260" spans="2:13" x14ac:dyDescent="0.4">
      <c r="B260" s="112"/>
      <c r="C260" s="112"/>
      <c r="D260" s="112"/>
      <c r="E260" s="112"/>
      <c r="F260" s="112"/>
      <c r="G260" s="112"/>
      <c r="H260" s="112"/>
      <c r="I260" s="112"/>
      <c r="J260" s="112"/>
      <c r="K260" s="112"/>
      <c r="L260" s="112"/>
      <c r="M260" s="112"/>
    </row>
    <row r="261" spans="2:13" x14ac:dyDescent="0.4">
      <c r="B261" s="112"/>
      <c r="C261" s="112"/>
      <c r="D261" s="112"/>
      <c r="E261" s="112"/>
      <c r="F261" s="112"/>
      <c r="G261" s="112"/>
      <c r="H261" s="112"/>
      <c r="I261" s="112"/>
      <c r="J261" s="112"/>
      <c r="K261" s="112"/>
      <c r="L261" s="112"/>
      <c r="M261" s="112"/>
    </row>
    <row r="262" spans="2:13" x14ac:dyDescent="0.4">
      <c r="B262" s="112"/>
      <c r="C262" s="112"/>
      <c r="D262" s="112"/>
      <c r="E262" s="112"/>
      <c r="F262" s="112"/>
      <c r="G262" s="112"/>
      <c r="H262" s="112"/>
      <c r="I262" s="112"/>
      <c r="J262" s="112"/>
      <c r="K262" s="112"/>
      <c r="L262" s="112"/>
      <c r="M262" s="112"/>
    </row>
    <row r="263" spans="2:13" x14ac:dyDescent="0.4">
      <c r="B263" s="112"/>
      <c r="C263" s="112"/>
      <c r="D263" s="112"/>
      <c r="E263" s="112"/>
      <c r="F263" s="112"/>
      <c r="G263" s="112"/>
      <c r="H263" s="112"/>
      <c r="I263" s="112"/>
      <c r="J263" s="112"/>
      <c r="K263" s="112"/>
      <c r="L263" s="112"/>
      <c r="M263" s="112"/>
    </row>
    <row r="264" spans="2:13" x14ac:dyDescent="0.4">
      <c r="B264" s="112"/>
      <c r="C264" s="112"/>
      <c r="D264" s="112"/>
      <c r="E264" s="112"/>
      <c r="F264" s="112"/>
      <c r="G264" s="112"/>
      <c r="H264" s="112"/>
      <c r="I264" s="112"/>
      <c r="J264" s="112"/>
      <c r="K264" s="112"/>
      <c r="L264" s="112"/>
      <c r="M264" s="112"/>
    </row>
    <row r="265" spans="2:13" x14ac:dyDescent="0.4">
      <c r="B265" s="112"/>
      <c r="C265" s="112"/>
      <c r="D265" s="112"/>
      <c r="E265" s="112"/>
      <c r="F265" s="112"/>
      <c r="G265" s="112"/>
      <c r="H265" s="112"/>
      <c r="I265" s="112"/>
      <c r="J265" s="112"/>
      <c r="K265" s="112"/>
      <c r="L265" s="112"/>
      <c r="M265" s="112"/>
    </row>
    <row r="266" spans="2:13" x14ac:dyDescent="0.4">
      <c r="B266" s="112"/>
      <c r="C266" s="112"/>
      <c r="D266" s="112"/>
      <c r="E266" s="112"/>
      <c r="F266" s="112"/>
      <c r="G266" s="112"/>
      <c r="H266" s="112"/>
      <c r="I266" s="112"/>
      <c r="J266" s="112"/>
      <c r="K266" s="112"/>
      <c r="L266" s="112"/>
      <c r="M266" s="112"/>
    </row>
    <row r="267" spans="2:13" x14ac:dyDescent="0.4">
      <c r="B267" s="112"/>
      <c r="C267" s="112"/>
      <c r="D267" s="112"/>
      <c r="E267" s="112"/>
      <c r="F267" s="112"/>
      <c r="G267" s="112"/>
      <c r="H267" s="112"/>
      <c r="I267" s="112"/>
      <c r="J267" s="112"/>
      <c r="K267" s="112"/>
      <c r="L267" s="112"/>
      <c r="M267" s="112"/>
    </row>
    <row r="268" spans="2:13" x14ac:dyDescent="0.4">
      <c r="B268" s="112"/>
      <c r="C268" s="112"/>
      <c r="D268" s="112"/>
      <c r="E268" s="112"/>
      <c r="F268" s="112"/>
      <c r="G268" s="112"/>
      <c r="H268" s="112"/>
      <c r="I268" s="112"/>
      <c r="J268" s="112"/>
      <c r="K268" s="112"/>
      <c r="L268" s="112"/>
      <c r="M268" s="112"/>
    </row>
    <row r="269" spans="2:13" x14ac:dyDescent="0.4">
      <c r="B269" s="112"/>
      <c r="C269" s="112"/>
      <c r="D269" s="112"/>
      <c r="E269" s="112"/>
      <c r="F269" s="112"/>
      <c r="G269" s="112"/>
      <c r="H269" s="112"/>
      <c r="I269" s="112"/>
      <c r="J269" s="112"/>
      <c r="K269" s="112"/>
      <c r="L269" s="112"/>
      <c r="M269" s="112"/>
    </row>
    <row r="270" spans="2:13" x14ac:dyDescent="0.4">
      <c r="B270" s="112"/>
      <c r="C270" s="112"/>
      <c r="D270" s="112"/>
      <c r="E270" s="112"/>
      <c r="F270" s="112"/>
      <c r="G270" s="112"/>
      <c r="H270" s="112"/>
      <c r="I270" s="112"/>
      <c r="J270" s="112"/>
      <c r="K270" s="112"/>
      <c r="L270" s="112"/>
      <c r="M270" s="112"/>
    </row>
    <row r="271" spans="2:13" x14ac:dyDescent="0.4">
      <c r="B271" s="112"/>
      <c r="C271" s="112"/>
      <c r="D271" s="112"/>
      <c r="E271" s="112"/>
      <c r="F271" s="112"/>
      <c r="G271" s="112"/>
      <c r="H271" s="112"/>
      <c r="I271" s="112"/>
      <c r="J271" s="112"/>
      <c r="K271" s="112"/>
      <c r="L271" s="112"/>
      <c r="M271" s="112"/>
    </row>
    <row r="272" spans="2:13" x14ac:dyDescent="0.4">
      <c r="B272" s="112"/>
      <c r="C272" s="112"/>
      <c r="D272" s="112"/>
      <c r="E272" s="112"/>
      <c r="F272" s="112"/>
      <c r="G272" s="112"/>
      <c r="H272" s="112"/>
      <c r="I272" s="112"/>
      <c r="J272" s="112"/>
      <c r="K272" s="112"/>
      <c r="L272" s="112"/>
      <c r="M272" s="112"/>
    </row>
    <row r="273" spans="2:13" x14ac:dyDescent="0.4">
      <c r="B273" s="112"/>
      <c r="C273" s="112"/>
      <c r="D273" s="112"/>
      <c r="E273" s="112"/>
      <c r="F273" s="112"/>
      <c r="G273" s="112"/>
      <c r="H273" s="112"/>
      <c r="I273" s="112"/>
      <c r="J273" s="112"/>
      <c r="K273" s="112"/>
      <c r="L273" s="112"/>
      <c r="M273" s="112"/>
    </row>
    <row r="274" spans="2:13" x14ac:dyDescent="0.4">
      <c r="B274" s="112"/>
      <c r="C274" s="112"/>
      <c r="D274" s="112"/>
      <c r="E274" s="112"/>
      <c r="F274" s="112"/>
      <c r="G274" s="112"/>
      <c r="H274" s="112"/>
      <c r="I274" s="112"/>
      <c r="J274" s="112"/>
      <c r="K274" s="112"/>
      <c r="L274" s="112"/>
      <c r="M274" s="112"/>
    </row>
    <row r="275" spans="2:13" x14ac:dyDescent="0.4">
      <c r="B275" s="112"/>
      <c r="C275" s="112"/>
      <c r="D275" s="112"/>
      <c r="E275" s="112"/>
      <c r="F275" s="112"/>
      <c r="G275" s="112"/>
      <c r="H275" s="112"/>
      <c r="I275" s="112"/>
      <c r="J275" s="112"/>
      <c r="K275" s="112"/>
      <c r="L275" s="112"/>
      <c r="M275" s="112"/>
    </row>
    <row r="276" spans="2:13" x14ac:dyDescent="0.4">
      <c r="B276" s="112"/>
      <c r="C276" s="112"/>
      <c r="D276" s="112"/>
      <c r="E276" s="112"/>
      <c r="F276" s="112"/>
      <c r="G276" s="112"/>
      <c r="H276" s="112"/>
      <c r="I276" s="112"/>
      <c r="J276" s="112"/>
      <c r="K276" s="112"/>
      <c r="L276" s="112"/>
      <c r="M276" s="112"/>
    </row>
    <row r="277" spans="2:13" x14ac:dyDescent="0.4">
      <c r="B277" s="112"/>
      <c r="C277" s="112"/>
      <c r="D277" s="112"/>
      <c r="E277" s="112"/>
      <c r="F277" s="112"/>
      <c r="G277" s="112"/>
      <c r="H277" s="112"/>
      <c r="I277" s="112"/>
      <c r="J277" s="112"/>
      <c r="K277" s="112"/>
      <c r="L277" s="112"/>
      <c r="M277" s="112"/>
    </row>
    <row r="278" spans="2:13" x14ac:dyDescent="0.4">
      <c r="B278" s="112"/>
      <c r="C278" s="112"/>
      <c r="D278" s="112"/>
      <c r="E278" s="112"/>
      <c r="F278" s="112"/>
      <c r="G278" s="112"/>
      <c r="H278" s="112"/>
      <c r="I278" s="112"/>
      <c r="J278" s="112"/>
      <c r="K278" s="112"/>
      <c r="L278" s="112"/>
      <c r="M278" s="112"/>
    </row>
    <row r="279" spans="2:13" x14ac:dyDescent="0.4">
      <c r="B279" s="112"/>
      <c r="C279" s="112"/>
      <c r="D279" s="112"/>
      <c r="E279" s="112"/>
      <c r="F279" s="112"/>
      <c r="G279" s="112"/>
      <c r="H279" s="112"/>
      <c r="I279" s="112"/>
      <c r="J279" s="112"/>
      <c r="K279" s="112"/>
      <c r="L279" s="112"/>
      <c r="M279" s="112"/>
    </row>
    <row r="280" spans="2:13" x14ac:dyDescent="0.4">
      <c r="B280" s="112"/>
      <c r="C280" s="112"/>
      <c r="D280" s="112"/>
      <c r="E280" s="112"/>
      <c r="F280" s="112"/>
      <c r="G280" s="112"/>
      <c r="H280" s="112"/>
      <c r="I280" s="112"/>
      <c r="J280" s="112"/>
      <c r="K280" s="112"/>
      <c r="L280" s="112"/>
      <c r="M280" s="112"/>
    </row>
    <row r="281" spans="2:13" x14ac:dyDescent="0.4">
      <c r="B281" s="112"/>
      <c r="C281" s="112"/>
      <c r="D281" s="112"/>
      <c r="E281" s="112"/>
      <c r="F281" s="112"/>
      <c r="G281" s="112"/>
      <c r="H281" s="112"/>
      <c r="I281" s="112"/>
      <c r="J281" s="112"/>
      <c r="K281" s="112"/>
      <c r="L281" s="112"/>
      <c r="M281" s="112"/>
    </row>
    <row r="282" spans="2:13" x14ac:dyDescent="0.4">
      <c r="B282" s="112"/>
      <c r="C282" s="112"/>
      <c r="D282" s="112"/>
      <c r="E282" s="112"/>
      <c r="F282" s="112"/>
      <c r="G282" s="112"/>
      <c r="H282" s="112"/>
      <c r="I282" s="112"/>
      <c r="J282" s="112"/>
      <c r="K282" s="112"/>
      <c r="L282" s="112"/>
      <c r="M282" s="112"/>
    </row>
    <row r="283" spans="2:13" x14ac:dyDescent="0.4">
      <c r="B283" s="112"/>
      <c r="C283" s="112"/>
      <c r="D283" s="112"/>
      <c r="E283" s="112"/>
      <c r="F283" s="112"/>
      <c r="G283" s="112"/>
      <c r="H283" s="112"/>
      <c r="I283" s="112"/>
      <c r="J283" s="112"/>
      <c r="K283" s="112"/>
      <c r="L283" s="112"/>
      <c r="M283" s="112"/>
    </row>
    <row r="284" spans="2:13" x14ac:dyDescent="0.4">
      <c r="B284" s="112"/>
      <c r="C284" s="112"/>
      <c r="D284" s="112"/>
      <c r="E284" s="112"/>
      <c r="F284" s="112"/>
      <c r="G284" s="112"/>
      <c r="H284" s="112"/>
      <c r="I284" s="112"/>
      <c r="J284" s="112"/>
      <c r="K284" s="112"/>
      <c r="L284" s="112"/>
      <c r="M284" s="112"/>
    </row>
    <row r="285" spans="2:13" x14ac:dyDescent="0.4">
      <c r="B285" s="112"/>
      <c r="C285" s="112"/>
      <c r="D285" s="112"/>
      <c r="E285" s="112"/>
      <c r="F285" s="112"/>
      <c r="G285" s="112"/>
      <c r="H285" s="112"/>
      <c r="I285" s="112"/>
      <c r="J285" s="112"/>
      <c r="K285" s="112"/>
      <c r="L285" s="112"/>
      <c r="M285" s="112"/>
    </row>
    <row r="286" spans="2:13" x14ac:dyDescent="0.4">
      <c r="B286" s="112"/>
      <c r="C286" s="112"/>
      <c r="D286" s="112"/>
      <c r="E286" s="112"/>
      <c r="F286" s="112"/>
      <c r="G286" s="112"/>
      <c r="H286" s="112"/>
      <c r="I286" s="112"/>
      <c r="J286" s="112"/>
      <c r="K286" s="112"/>
      <c r="L286" s="112"/>
      <c r="M286" s="112"/>
    </row>
    <row r="287" spans="2:13" x14ac:dyDescent="0.4">
      <c r="B287" s="112"/>
      <c r="C287" s="112"/>
      <c r="D287" s="112"/>
      <c r="E287" s="112"/>
      <c r="F287" s="112"/>
      <c r="G287" s="112"/>
      <c r="H287" s="112"/>
      <c r="I287" s="112"/>
      <c r="J287" s="112"/>
      <c r="K287" s="112"/>
      <c r="L287" s="112"/>
      <c r="M287" s="112"/>
    </row>
    <row r="288" spans="2:13" x14ac:dyDescent="0.4">
      <c r="B288" s="112"/>
      <c r="C288" s="112"/>
      <c r="D288" s="112"/>
      <c r="E288" s="112"/>
      <c r="F288" s="112"/>
      <c r="G288" s="112"/>
      <c r="H288" s="112"/>
      <c r="I288" s="112"/>
      <c r="J288" s="112"/>
      <c r="K288" s="112"/>
      <c r="L288" s="112"/>
      <c r="M288" s="112"/>
    </row>
    <row r="289" spans="2:13" x14ac:dyDescent="0.4">
      <c r="B289" s="112"/>
      <c r="C289" s="112"/>
      <c r="D289" s="112"/>
      <c r="E289" s="112"/>
      <c r="F289" s="112"/>
      <c r="G289" s="112"/>
      <c r="H289" s="112"/>
      <c r="I289" s="112"/>
      <c r="J289" s="112"/>
      <c r="K289" s="112"/>
      <c r="L289" s="112"/>
      <c r="M289" s="112"/>
    </row>
    <row r="290" spans="2:13" x14ac:dyDescent="0.4">
      <c r="B290" s="112"/>
      <c r="C290" s="112"/>
      <c r="D290" s="112"/>
      <c r="E290" s="112"/>
      <c r="F290" s="112"/>
      <c r="G290" s="112"/>
      <c r="H290" s="112"/>
      <c r="I290" s="112"/>
      <c r="J290" s="112"/>
      <c r="K290" s="112"/>
      <c r="L290" s="112"/>
      <c r="M290" s="112"/>
    </row>
    <row r="291" spans="2:13" x14ac:dyDescent="0.4">
      <c r="B291" s="112"/>
      <c r="C291" s="112"/>
      <c r="D291" s="112"/>
      <c r="E291" s="112"/>
      <c r="F291" s="112"/>
      <c r="G291" s="112"/>
      <c r="H291" s="112"/>
      <c r="I291" s="112"/>
      <c r="J291" s="112"/>
      <c r="K291" s="112"/>
      <c r="L291" s="112"/>
      <c r="M291" s="112"/>
    </row>
    <row r="292" spans="2:13" x14ac:dyDescent="0.4">
      <c r="B292" s="112"/>
      <c r="C292" s="112"/>
      <c r="D292" s="112"/>
      <c r="E292" s="112"/>
      <c r="F292" s="112"/>
      <c r="G292" s="112"/>
      <c r="H292" s="112"/>
      <c r="I292" s="112"/>
      <c r="J292" s="112"/>
      <c r="K292" s="112"/>
      <c r="L292" s="112"/>
      <c r="M292" s="112"/>
    </row>
    <row r="293" spans="2:13" x14ac:dyDescent="0.4">
      <c r="B293" s="112"/>
      <c r="C293" s="112"/>
      <c r="D293" s="112"/>
      <c r="E293" s="112"/>
      <c r="F293" s="112"/>
      <c r="G293" s="112"/>
      <c r="H293" s="112"/>
      <c r="I293" s="112"/>
      <c r="J293" s="112"/>
      <c r="K293" s="112"/>
      <c r="L293" s="112"/>
      <c r="M293" s="112"/>
    </row>
    <row r="294" spans="2:13" x14ac:dyDescent="0.4">
      <c r="B294" s="112"/>
      <c r="C294" s="112"/>
      <c r="D294" s="112"/>
      <c r="E294" s="112"/>
      <c r="F294" s="112"/>
      <c r="G294" s="112"/>
      <c r="H294" s="112"/>
      <c r="I294" s="112"/>
      <c r="J294" s="112"/>
      <c r="K294" s="112"/>
      <c r="L294" s="112"/>
      <c r="M294" s="112"/>
    </row>
    <row r="295" spans="2:13" x14ac:dyDescent="0.4">
      <c r="B295" s="112"/>
      <c r="C295" s="112"/>
      <c r="D295" s="112"/>
      <c r="E295" s="112"/>
      <c r="F295" s="112"/>
      <c r="G295" s="112"/>
      <c r="H295" s="112"/>
      <c r="I295" s="112"/>
      <c r="J295" s="112"/>
      <c r="K295" s="112"/>
      <c r="L295" s="112"/>
      <c r="M295" s="112"/>
    </row>
    <row r="296" spans="2:13" x14ac:dyDescent="0.4">
      <c r="B296" s="112"/>
      <c r="C296" s="112"/>
      <c r="D296" s="112"/>
      <c r="E296" s="112"/>
      <c r="F296" s="112"/>
      <c r="G296" s="112"/>
      <c r="H296" s="112"/>
      <c r="I296" s="112"/>
      <c r="J296" s="112"/>
      <c r="K296" s="112"/>
      <c r="L296" s="112"/>
      <c r="M296" s="112"/>
    </row>
    <row r="297" spans="2:13" x14ac:dyDescent="0.4">
      <c r="B297" s="112"/>
      <c r="C297" s="112"/>
      <c r="D297" s="112"/>
      <c r="E297" s="112"/>
      <c r="F297" s="112"/>
      <c r="G297" s="112"/>
      <c r="H297" s="112"/>
      <c r="I297" s="112"/>
      <c r="J297" s="112"/>
      <c r="K297" s="112"/>
      <c r="L297" s="112"/>
      <c r="M297" s="112"/>
    </row>
    <row r="298" spans="2:13" x14ac:dyDescent="0.4">
      <c r="B298" s="112"/>
      <c r="C298" s="112"/>
      <c r="D298" s="112"/>
      <c r="E298" s="112"/>
      <c r="F298" s="112"/>
      <c r="G298" s="112"/>
      <c r="H298" s="112"/>
      <c r="I298" s="112"/>
      <c r="J298" s="112"/>
      <c r="K298" s="112"/>
      <c r="L298" s="112"/>
      <c r="M298" s="112"/>
    </row>
    <row r="299" spans="2:13" x14ac:dyDescent="0.4">
      <c r="B299" s="112"/>
      <c r="C299" s="112"/>
      <c r="D299" s="112"/>
      <c r="E299" s="112"/>
      <c r="F299" s="112"/>
      <c r="G299" s="112"/>
      <c r="H299" s="112"/>
      <c r="I299" s="112"/>
      <c r="J299" s="112"/>
      <c r="K299" s="112"/>
      <c r="L299" s="112"/>
      <c r="M299" s="112"/>
    </row>
    <row r="300" spans="2:13" x14ac:dyDescent="0.4">
      <c r="B300" s="112"/>
      <c r="C300" s="112"/>
      <c r="D300" s="112"/>
      <c r="E300" s="112"/>
      <c r="F300" s="112"/>
      <c r="G300" s="112"/>
      <c r="H300" s="112"/>
      <c r="I300" s="112"/>
      <c r="J300" s="112"/>
      <c r="K300" s="112"/>
      <c r="L300" s="112"/>
      <c r="M300" s="112"/>
    </row>
    <row r="301" spans="2:13" x14ac:dyDescent="0.4">
      <c r="B301" s="112"/>
      <c r="C301" s="112"/>
      <c r="D301" s="112"/>
      <c r="E301" s="112"/>
      <c r="F301" s="112"/>
      <c r="G301" s="112"/>
      <c r="H301" s="112"/>
      <c r="I301" s="112"/>
      <c r="J301" s="112"/>
      <c r="K301" s="112"/>
      <c r="L301" s="112"/>
      <c r="M301" s="112"/>
    </row>
    <row r="302" spans="2:13" x14ac:dyDescent="0.4">
      <c r="B302" s="112"/>
      <c r="C302" s="112"/>
      <c r="D302" s="112"/>
      <c r="E302" s="112"/>
      <c r="F302" s="112"/>
      <c r="G302" s="112"/>
      <c r="H302" s="112"/>
      <c r="I302" s="112"/>
      <c r="J302" s="112"/>
      <c r="K302" s="112"/>
      <c r="L302" s="112"/>
      <c r="M302" s="112"/>
    </row>
    <row r="303" spans="2:13" x14ac:dyDescent="0.4">
      <c r="B303" s="112"/>
      <c r="C303" s="112"/>
      <c r="D303" s="112"/>
      <c r="E303" s="112"/>
      <c r="F303" s="112"/>
      <c r="G303" s="112"/>
      <c r="H303" s="112"/>
      <c r="I303" s="112"/>
      <c r="J303" s="112"/>
      <c r="K303" s="112"/>
      <c r="L303" s="112"/>
      <c r="M303" s="112"/>
    </row>
    <row r="304" spans="2:13" x14ac:dyDescent="0.4">
      <c r="B304" s="112"/>
      <c r="C304" s="112"/>
      <c r="D304" s="112"/>
      <c r="E304" s="112"/>
      <c r="F304" s="112"/>
      <c r="G304" s="112"/>
      <c r="H304" s="112"/>
      <c r="I304" s="112"/>
      <c r="J304" s="112"/>
      <c r="K304" s="112"/>
      <c r="L304" s="112"/>
      <c r="M304" s="112"/>
    </row>
    <row r="305" spans="2:13" x14ac:dyDescent="0.4">
      <c r="B305" s="112"/>
      <c r="C305" s="112"/>
      <c r="D305" s="112"/>
      <c r="E305" s="112"/>
      <c r="F305" s="112"/>
      <c r="G305" s="112"/>
      <c r="H305" s="112"/>
      <c r="I305" s="112"/>
      <c r="J305" s="112"/>
      <c r="K305" s="112"/>
      <c r="L305" s="112"/>
      <c r="M305" s="112"/>
    </row>
    <row r="306" spans="2:13" x14ac:dyDescent="0.4">
      <c r="B306" s="112"/>
      <c r="C306" s="112"/>
      <c r="D306" s="112"/>
      <c r="E306" s="112"/>
      <c r="F306" s="112"/>
      <c r="G306" s="112"/>
      <c r="H306" s="112"/>
      <c r="I306" s="112"/>
      <c r="J306" s="112"/>
      <c r="K306" s="112"/>
      <c r="L306" s="112"/>
      <c r="M306" s="112"/>
    </row>
    <row r="307" spans="2:13" x14ac:dyDescent="0.4">
      <c r="B307" s="112"/>
      <c r="C307" s="112"/>
      <c r="D307" s="112"/>
      <c r="E307" s="112"/>
      <c r="F307" s="112"/>
      <c r="G307" s="112"/>
      <c r="H307" s="112"/>
      <c r="I307" s="112"/>
      <c r="J307" s="112"/>
      <c r="K307" s="112"/>
      <c r="L307" s="112"/>
      <c r="M307" s="112"/>
    </row>
    <row r="308" spans="2:13" x14ac:dyDescent="0.4">
      <c r="B308" s="112"/>
      <c r="C308" s="112"/>
      <c r="D308" s="112"/>
      <c r="E308" s="112"/>
      <c r="F308" s="112"/>
      <c r="G308" s="112"/>
      <c r="H308" s="112"/>
      <c r="I308" s="112"/>
      <c r="J308" s="112"/>
      <c r="K308" s="112"/>
      <c r="L308" s="112"/>
      <c r="M308" s="112"/>
    </row>
    <row r="309" spans="2:13" x14ac:dyDescent="0.4">
      <c r="B309" s="112"/>
      <c r="C309" s="112"/>
      <c r="D309" s="112"/>
      <c r="E309" s="112"/>
      <c r="F309" s="112"/>
      <c r="G309" s="112"/>
      <c r="H309" s="112"/>
      <c r="I309" s="112"/>
      <c r="J309" s="112"/>
      <c r="K309" s="112"/>
      <c r="L309" s="112"/>
      <c r="M309" s="112"/>
    </row>
    <row r="310" spans="2:13" x14ac:dyDescent="0.4">
      <c r="B310" s="112"/>
      <c r="C310" s="112"/>
      <c r="D310" s="112"/>
      <c r="E310" s="112"/>
      <c r="F310" s="112"/>
      <c r="G310" s="112"/>
      <c r="H310" s="112"/>
      <c r="I310" s="112"/>
      <c r="J310" s="112"/>
      <c r="K310" s="112"/>
      <c r="L310" s="112"/>
      <c r="M310" s="112"/>
    </row>
    <row r="311" spans="2:13" x14ac:dyDescent="0.4">
      <c r="B311" s="112"/>
      <c r="C311" s="112"/>
      <c r="D311" s="112"/>
      <c r="E311" s="112"/>
      <c r="F311" s="112"/>
      <c r="G311" s="112"/>
      <c r="H311" s="112"/>
      <c r="I311" s="112"/>
      <c r="J311" s="112"/>
      <c r="K311" s="112"/>
      <c r="L311" s="112"/>
      <c r="M311" s="112"/>
    </row>
    <row r="312" spans="2:13" x14ac:dyDescent="0.4">
      <c r="B312" s="112"/>
      <c r="C312" s="112"/>
      <c r="D312" s="112"/>
      <c r="E312" s="112"/>
      <c r="F312" s="112"/>
      <c r="G312" s="112"/>
      <c r="H312" s="112"/>
      <c r="I312" s="112"/>
      <c r="J312" s="112"/>
      <c r="K312" s="112"/>
      <c r="L312" s="112"/>
      <c r="M312" s="112"/>
    </row>
    <row r="313" spans="2:13" x14ac:dyDescent="0.4">
      <c r="B313" s="112"/>
      <c r="C313" s="112"/>
      <c r="D313" s="112"/>
      <c r="E313" s="112"/>
      <c r="F313" s="112"/>
      <c r="G313" s="112"/>
      <c r="H313" s="112"/>
      <c r="I313" s="112"/>
      <c r="J313" s="112"/>
      <c r="K313" s="112"/>
      <c r="L313" s="112"/>
      <c r="M313" s="112"/>
    </row>
    <row r="314" spans="2:13" x14ac:dyDescent="0.4">
      <c r="B314" s="112"/>
      <c r="C314" s="112"/>
      <c r="D314" s="112"/>
      <c r="E314" s="112"/>
      <c r="F314" s="112"/>
      <c r="G314" s="112"/>
      <c r="H314" s="112"/>
      <c r="I314" s="112"/>
      <c r="J314" s="112"/>
      <c r="K314" s="112"/>
      <c r="L314" s="112"/>
      <c r="M314" s="112"/>
    </row>
    <row r="315" spans="2:13" x14ac:dyDescent="0.4">
      <c r="B315" s="112"/>
      <c r="C315" s="112"/>
      <c r="D315" s="112"/>
      <c r="E315" s="112"/>
      <c r="F315" s="112"/>
      <c r="G315" s="112"/>
      <c r="H315" s="112"/>
      <c r="I315" s="112"/>
      <c r="J315" s="112"/>
      <c r="K315" s="112"/>
      <c r="L315" s="112"/>
      <c r="M315" s="112"/>
    </row>
    <row r="316" spans="2:13" x14ac:dyDescent="0.4">
      <c r="B316" s="112"/>
      <c r="C316" s="112"/>
      <c r="D316" s="112"/>
      <c r="E316" s="112"/>
      <c r="F316" s="112"/>
      <c r="G316" s="112"/>
      <c r="H316" s="112"/>
      <c r="I316" s="112"/>
      <c r="J316" s="112"/>
      <c r="K316" s="112"/>
      <c r="L316" s="112"/>
      <c r="M316" s="112"/>
    </row>
    <row r="317" spans="2:13" x14ac:dyDescent="0.4">
      <c r="B317" s="112"/>
      <c r="C317" s="112"/>
      <c r="D317" s="112"/>
      <c r="E317" s="112"/>
      <c r="F317" s="112"/>
      <c r="G317" s="112"/>
      <c r="H317" s="112"/>
      <c r="I317" s="112"/>
      <c r="J317" s="112"/>
      <c r="K317" s="112"/>
      <c r="L317" s="112"/>
      <c r="M317" s="112"/>
    </row>
    <row r="318" spans="2:13" x14ac:dyDescent="0.4">
      <c r="B318" s="112"/>
      <c r="C318" s="112"/>
      <c r="D318" s="112"/>
      <c r="E318" s="112"/>
      <c r="F318" s="112"/>
      <c r="G318" s="112"/>
      <c r="H318" s="112"/>
      <c r="I318" s="112"/>
      <c r="J318" s="112"/>
      <c r="K318" s="112"/>
      <c r="L318" s="112"/>
      <c r="M318" s="112"/>
    </row>
    <row r="319" spans="2:13" x14ac:dyDescent="0.4">
      <c r="B319" s="112"/>
      <c r="C319" s="112"/>
      <c r="D319" s="112"/>
      <c r="E319" s="112"/>
      <c r="F319" s="112"/>
      <c r="G319" s="112"/>
      <c r="H319" s="112"/>
      <c r="I319" s="112"/>
      <c r="J319" s="112"/>
      <c r="K319" s="112"/>
      <c r="L319" s="112"/>
      <c r="M319" s="112"/>
    </row>
    <row r="320" spans="2:13" x14ac:dyDescent="0.4">
      <c r="B320" s="112"/>
      <c r="C320" s="112"/>
      <c r="D320" s="112"/>
      <c r="E320" s="112"/>
      <c r="F320" s="112"/>
      <c r="G320" s="112"/>
      <c r="H320" s="112"/>
      <c r="I320" s="112"/>
      <c r="J320" s="112"/>
      <c r="K320" s="112"/>
      <c r="L320" s="112"/>
      <c r="M320" s="112"/>
    </row>
    <row r="321" spans="2:13" x14ac:dyDescent="0.4">
      <c r="B321" s="112"/>
      <c r="C321" s="112"/>
      <c r="D321" s="112"/>
      <c r="E321" s="112"/>
      <c r="F321" s="112"/>
      <c r="G321" s="112"/>
      <c r="H321" s="112"/>
      <c r="I321" s="112"/>
      <c r="J321" s="112"/>
      <c r="K321" s="112"/>
      <c r="L321" s="112"/>
      <c r="M321" s="112"/>
    </row>
    <row r="322" spans="2:13" x14ac:dyDescent="0.4">
      <c r="B322" s="112"/>
      <c r="C322" s="112"/>
      <c r="D322" s="112"/>
      <c r="E322" s="112"/>
      <c r="F322" s="112"/>
      <c r="G322" s="112"/>
      <c r="H322" s="112"/>
      <c r="I322" s="112"/>
      <c r="J322" s="112"/>
      <c r="K322" s="112"/>
      <c r="L322" s="112"/>
      <c r="M322" s="112"/>
    </row>
    <row r="323" spans="2:13" x14ac:dyDescent="0.4">
      <c r="B323" s="112"/>
      <c r="C323" s="112"/>
      <c r="D323" s="112"/>
      <c r="E323" s="112"/>
      <c r="F323" s="112"/>
      <c r="G323" s="112"/>
      <c r="H323" s="112"/>
      <c r="I323" s="112"/>
      <c r="J323" s="112"/>
      <c r="K323" s="112"/>
      <c r="L323" s="112"/>
      <c r="M323" s="112"/>
    </row>
    <row r="324" spans="2:13" x14ac:dyDescent="0.4">
      <c r="B324" s="112"/>
      <c r="C324" s="112"/>
      <c r="D324" s="112"/>
      <c r="E324" s="112"/>
      <c r="F324" s="112"/>
      <c r="G324" s="112"/>
      <c r="H324" s="112"/>
      <c r="I324" s="112"/>
      <c r="J324" s="112"/>
      <c r="K324" s="112"/>
      <c r="L324" s="112"/>
      <c r="M324" s="112"/>
    </row>
    <row r="325" spans="2:13" x14ac:dyDescent="0.4">
      <c r="B325" s="112"/>
      <c r="C325" s="112"/>
      <c r="D325" s="112"/>
      <c r="E325" s="112"/>
      <c r="F325" s="112"/>
      <c r="G325" s="112"/>
      <c r="H325" s="112"/>
      <c r="I325" s="112"/>
      <c r="J325" s="112"/>
      <c r="K325" s="112"/>
      <c r="L325" s="112"/>
      <c r="M325" s="112"/>
    </row>
    <row r="326" spans="2:13" x14ac:dyDescent="0.4">
      <c r="B326" s="112"/>
      <c r="C326" s="112"/>
      <c r="D326" s="112"/>
      <c r="E326" s="112"/>
      <c r="F326" s="112"/>
      <c r="G326" s="112"/>
      <c r="H326" s="112"/>
      <c r="I326" s="112"/>
      <c r="J326" s="112"/>
      <c r="K326" s="112"/>
      <c r="L326" s="112"/>
      <c r="M326" s="112"/>
    </row>
    <row r="327" spans="2:13" x14ac:dyDescent="0.4">
      <c r="B327" s="112"/>
      <c r="C327" s="112"/>
      <c r="D327" s="112"/>
      <c r="E327" s="112"/>
      <c r="F327" s="112"/>
      <c r="G327" s="112"/>
      <c r="H327" s="112"/>
      <c r="I327" s="112"/>
      <c r="J327" s="112"/>
      <c r="K327" s="112"/>
      <c r="L327" s="112"/>
      <c r="M327" s="112"/>
    </row>
    <row r="328" spans="2:13" x14ac:dyDescent="0.4">
      <c r="B328" s="112"/>
      <c r="C328" s="112"/>
      <c r="D328" s="112"/>
      <c r="E328" s="112"/>
      <c r="F328" s="112"/>
      <c r="G328" s="112"/>
      <c r="H328" s="112"/>
      <c r="I328" s="112"/>
      <c r="J328" s="112"/>
      <c r="K328" s="112"/>
      <c r="L328" s="112"/>
      <c r="M328" s="112"/>
    </row>
    <row r="329" spans="2:13" x14ac:dyDescent="0.4">
      <c r="B329" s="112"/>
      <c r="C329" s="112"/>
      <c r="D329" s="112"/>
      <c r="E329" s="112"/>
      <c r="F329" s="112"/>
      <c r="G329" s="112"/>
      <c r="H329" s="112"/>
      <c r="I329" s="112"/>
      <c r="J329" s="112"/>
      <c r="K329" s="112"/>
      <c r="L329" s="112"/>
      <c r="M329" s="112"/>
    </row>
    <row r="330" spans="2:13" x14ac:dyDescent="0.4">
      <c r="B330" s="112"/>
      <c r="C330" s="112"/>
      <c r="D330" s="112"/>
      <c r="E330" s="112"/>
      <c r="F330" s="112"/>
      <c r="G330" s="112"/>
      <c r="H330" s="112"/>
      <c r="I330" s="112"/>
      <c r="J330" s="112"/>
      <c r="K330" s="112"/>
      <c r="L330" s="112"/>
      <c r="M330" s="112"/>
    </row>
    <row r="331" spans="2:13" x14ac:dyDescent="0.4">
      <c r="B331" s="112"/>
      <c r="C331" s="112"/>
      <c r="D331" s="112"/>
      <c r="E331" s="112"/>
      <c r="F331" s="112"/>
      <c r="G331" s="112"/>
      <c r="H331" s="112"/>
      <c r="I331" s="112"/>
      <c r="J331" s="112"/>
      <c r="K331" s="112"/>
      <c r="L331" s="112"/>
      <c r="M331" s="112"/>
    </row>
    <row r="332" spans="2:13" x14ac:dyDescent="0.4">
      <c r="B332" s="112"/>
      <c r="C332" s="112"/>
      <c r="D332" s="112"/>
      <c r="E332" s="112"/>
      <c r="F332" s="112"/>
      <c r="G332" s="112"/>
      <c r="H332" s="112"/>
      <c r="I332" s="112"/>
      <c r="J332" s="112"/>
      <c r="K332" s="112"/>
      <c r="L332" s="112"/>
      <c r="M332" s="112"/>
    </row>
    <row r="333" spans="2:13" x14ac:dyDescent="0.4">
      <c r="B333" s="112"/>
      <c r="C333" s="112"/>
      <c r="D333" s="112"/>
      <c r="E333" s="112"/>
      <c r="F333" s="112"/>
      <c r="G333" s="112"/>
      <c r="H333" s="112"/>
      <c r="I333" s="112"/>
      <c r="J333" s="112"/>
      <c r="K333" s="112"/>
      <c r="L333" s="112"/>
      <c r="M333" s="112"/>
    </row>
    <row r="334" spans="2:13" x14ac:dyDescent="0.4">
      <c r="B334" s="112"/>
      <c r="C334" s="112"/>
      <c r="D334" s="112"/>
      <c r="E334" s="112"/>
      <c r="F334" s="112"/>
      <c r="G334" s="112"/>
      <c r="H334" s="112"/>
      <c r="I334" s="112"/>
      <c r="J334" s="112"/>
      <c r="K334" s="112"/>
      <c r="L334" s="112"/>
      <c r="M334" s="112"/>
    </row>
    <row r="335" spans="2:13" x14ac:dyDescent="0.4">
      <c r="B335" s="112"/>
      <c r="C335" s="112"/>
      <c r="D335" s="112"/>
      <c r="E335" s="112"/>
      <c r="F335" s="112"/>
      <c r="G335" s="112"/>
      <c r="H335" s="112"/>
      <c r="I335" s="112"/>
      <c r="J335" s="112"/>
      <c r="K335" s="112"/>
      <c r="L335" s="112"/>
      <c r="M335" s="112"/>
    </row>
    <row r="336" spans="2:13" x14ac:dyDescent="0.4">
      <c r="B336" s="112"/>
      <c r="C336" s="112"/>
      <c r="D336" s="112"/>
      <c r="E336" s="112"/>
      <c r="F336" s="112"/>
      <c r="G336" s="112"/>
      <c r="H336" s="112"/>
      <c r="I336" s="112"/>
      <c r="J336" s="112"/>
      <c r="K336" s="112"/>
      <c r="L336" s="112"/>
      <c r="M336" s="112"/>
    </row>
    <row r="337" spans="2:13" x14ac:dyDescent="0.4">
      <c r="B337" s="112"/>
      <c r="C337" s="112"/>
      <c r="D337" s="112"/>
      <c r="E337" s="112"/>
      <c r="F337" s="112"/>
      <c r="G337" s="112"/>
      <c r="H337" s="112"/>
      <c r="I337" s="112"/>
      <c r="J337" s="112"/>
      <c r="K337" s="112"/>
      <c r="L337" s="112"/>
      <c r="M337" s="112"/>
    </row>
    <row r="338" spans="2:13" x14ac:dyDescent="0.4">
      <c r="B338" s="112"/>
      <c r="C338" s="112"/>
      <c r="D338" s="112"/>
      <c r="E338" s="112"/>
      <c r="F338" s="112"/>
      <c r="G338" s="112"/>
      <c r="H338" s="112"/>
      <c r="I338" s="112"/>
      <c r="J338" s="112"/>
      <c r="K338" s="112"/>
      <c r="L338" s="112"/>
      <c r="M338" s="112"/>
    </row>
    <row r="339" spans="2:13" x14ac:dyDescent="0.4">
      <c r="B339" s="112"/>
      <c r="C339" s="112"/>
      <c r="D339" s="112"/>
      <c r="E339" s="112"/>
      <c r="F339" s="112"/>
      <c r="G339" s="112"/>
      <c r="H339" s="112"/>
      <c r="I339" s="112"/>
      <c r="J339" s="112"/>
      <c r="K339" s="112"/>
      <c r="L339" s="112"/>
      <c r="M339" s="112"/>
    </row>
    <row r="340" spans="2:13" x14ac:dyDescent="0.4">
      <c r="B340" s="112"/>
      <c r="C340" s="112"/>
      <c r="D340" s="112"/>
      <c r="E340" s="112"/>
      <c r="F340" s="112"/>
      <c r="G340" s="112"/>
      <c r="H340" s="112"/>
      <c r="I340" s="112"/>
      <c r="J340" s="112"/>
      <c r="K340" s="112"/>
      <c r="L340" s="112"/>
      <c r="M340" s="112"/>
    </row>
    <row r="341" spans="2:13" x14ac:dyDescent="0.4">
      <c r="B341" s="112"/>
      <c r="C341" s="112"/>
      <c r="D341" s="112"/>
      <c r="E341" s="112"/>
      <c r="F341" s="112"/>
      <c r="G341" s="112"/>
      <c r="H341" s="112"/>
      <c r="I341" s="112"/>
      <c r="J341" s="112"/>
      <c r="K341" s="112"/>
      <c r="L341" s="112"/>
      <c r="M341" s="112"/>
    </row>
    <row r="342" spans="2:13" x14ac:dyDescent="0.4">
      <c r="B342" s="112"/>
      <c r="C342" s="112"/>
      <c r="D342" s="112"/>
      <c r="E342" s="112"/>
      <c r="F342" s="112"/>
      <c r="G342" s="112"/>
      <c r="H342" s="112"/>
      <c r="I342" s="112"/>
      <c r="J342" s="112"/>
      <c r="K342" s="112"/>
      <c r="L342" s="112"/>
      <c r="M342" s="112"/>
    </row>
    <row r="343" spans="2:13" x14ac:dyDescent="0.4">
      <c r="B343" s="112"/>
      <c r="C343" s="112"/>
      <c r="D343" s="112"/>
      <c r="E343" s="112"/>
      <c r="F343" s="112"/>
      <c r="G343" s="112"/>
      <c r="H343" s="112"/>
      <c r="I343" s="112"/>
      <c r="J343" s="112"/>
      <c r="K343" s="112"/>
      <c r="L343" s="112"/>
      <c r="M343" s="112"/>
    </row>
    <row r="344" spans="2:13" x14ac:dyDescent="0.4">
      <c r="B344" s="112"/>
      <c r="C344" s="112"/>
      <c r="D344" s="112"/>
      <c r="E344" s="112"/>
      <c r="F344" s="112"/>
      <c r="G344" s="112"/>
      <c r="H344" s="112"/>
      <c r="I344" s="112"/>
      <c r="J344" s="112"/>
      <c r="K344" s="112"/>
      <c r="L344" s="112"/>
      <c r="M344" s="112"/>
    </row>
    <row r="345" spans="2:13" x14ac:dyDescent="0.4">
      <c r="B345" s="112"/>
      <c r="C345" s="112"/>
      <c r="D345" s="112"/>
      <c r="E345" s="112"/>
      <c r="F345" s="112"/>
      <c r="G345" s="112"/>
      <c r="H345" s="112"/>
      <c r="I345" s="112"/>
      <c r="J345" s="112"/>
      <c r="K345" s="112"/>
      <c r="L345" s="112"/>
      <c r="M345" s="112"/>
    </row>
    <row r="346" spans="2:13" x14ac:dyDescent="0.4">
      <c r="B346" s="112"/>
      <c r="C346" s="112"/>
      <c r="D346" s="112"/>
      <c r="E346" s="112"/>
      <c r="F346" s="112"/>
      <c r="G346" s="112"/>
      <c r="H346" s="112"/>
      <c r="I346" s="112"/>
      <c r="J346" s="112"/>
      <c r="K346" s="112"/>
      <c r="L346" s="112"/>
      <c r="M346" s="112"/>
    </row>
    <row r="347" spans="2:13" x14ac:dyDescent="0.4">
      <c r="B347" s="112"/>
      <c r="C347" s="112"/>
      <c r="D347" s="112"/>
      <c r="E347" s="112"/>
      <c r="F347" s="112"/>
      <c r="G347" s="112"/>
      <c r="H347" s="112"/>
      <c r="I347" s="112"/>
      <c r="J347" s="112"/>
      <c r="K347" s="112"/>
      <c r="L347" s="112"/>
      <c r="M347" s="112"/>
    </row>
    <row r="348" spans="2:13" x14ac:dyDescent="0.4">
      <c r="B348" s="112"/>
      <c r="C348" s="112"/>
      <c r="D348" s="112"/>
      <c r="E348" s="112"/>
      <c r="F348" s="112"/>
      <c r="G348" s="112"/>
      <c r="H348" s="112"/>
      <c r="I348" s="112"/>
      <c r="J348" s="112"/>
      <c r="K348" s="112"/>
      <c r="L348" s="112"/>
      <c r="M348" s="112"/>
    </row>
    <row r="349" spans="2:13" x14ac:dyDescent="0.4">
      <c r="B349" s="112"/>
      <c r="C349" s="112"/>
      <c r="D349" s="112"/>
      <c r="E349" s="112"/>
      <c r="F349" s="112"/>
      <c r="G349" s="112"/>
      <c r="H349" s="112"/>
      <c r="I349" s="112"/>
      <c r="J349" s="112"/>
      <c r="K349" s="112"/>
      <c r="L349" s="112"/>
      <c r="M349" s="112"/>
    </row>
    <row r="350" spans="2:13" x14ac:dyDescent="0.4">
      <c r="B350" s="112"/>
      <c r="C350" s="112"/>
      <c r="D350" s="112"/>
      <c r="E350" s="112"/>
      <c r="F350" s="112"/>
      <c r="G350" s="112"/>
      <c r="H350" s="112"/>
      <c r="I350" s="112"/>
      <c r="J350" s="112"/>
      <c r="K350" s="112"/>
      <c r="L350" s="112"/>
      <c r="M350" s="112"/>
    </row>
    <row r="351" spans="2:13" x14ac:dyDescent="0.4">
      <c r="B351" s="112"/>
      <c r="C351" s="112"/>
      <c r="D351" s="112"/>
      <c r="E351" s="112"/>
      <c r="F351" s="112"/>
      <c r="G351" s="112"/>
      <c r="H351" s="112"/>
      <c r="I351" s="112"/>
      <c r="J351" s="112"/>
      <c r="K351" s="112"/>
      <c r="L351" s="112"/>
      <c r="M351" s="112"/>
    </row>
    <row r="352" spans="2:13" x14ac:dyDescent="0.4">
      <c r="B352" s="112"/>
      <c r="C352" s="112"/>
      <c r="D352" s="112"/>
      <c r="E352" s="112"/>
      <c r="F352" s="112"/>
      <c r="G352" s="112"/>
      <c r="H352" s="112"/>
      <c r="I352" s="112"/>
      <c r="J352" s="112"/>
      <c r="K352" s="112"/>
      <c r="L352" s="112"/>
      <c r="M352" s="112"/>
    </row>
    <row r="353" spans="2:13" x14ac:dyDescent="0.4">
      <c r="B353" s="112"/>
      <c r="C353" s="112"/>
      <c r="D353" s="112"/>
      <c r="E353" s="112"/>
      <c r="F353" s="112"/>
      <c r="G353" s="112"/>
      <c r="H353" s="112"/>
      <c r="I353" s="112"/>
      <c r="J353" s="112"/>
      <c r="K353" s="112"/>
      <c r="L353" s="112"/>
      <c r="M353" s="112"/>
    </row>
    <row r="354" spans="2:13" x14ac:dyDescent="0.4">
      <c r="B354" s="112"/>
      <c r="C354" s="112"/>
      <c r="D354" s="112"/>
      <c r="E354" s="112"/>
      <c r="F354" s="112"/>
      <c r="G354" s="112"/>
      <c r="H354" s="112"/>
      <c r="I354" s="112"/>
      <c r="J354" s="112"/>
      <c r="K354" s="112"/>
      <c r="L354" s="112"/>
      <c r="M354" s="112"/>
    </row>
    <row r="355" spans="2:13" x14ac:dyDescent="0.4">
      <c r="B355" s="112"/>
      <c r="C355" s="112"/>
      <c r="D355" s="112"/>
      <c r="E355" s="112"/>
      <c r="F355" s="112"/>
      <c r="G355" s="112"/>
      <c r="H355" s="112"/>
      <c r="I355" s="112"/>
      <c r="J355" s="112"/>
      <c r="K355" s="112"/>
      <c r="L355" s="112"/>
      <c r="M355" s="112"/>
    </row>
    <row r="356" spans="2:13" x14ac:dyDescent="0.4">
      <c r="B356" s="112"/>
      <c r="C356" s="112"/>
      <c r="D356" s="112"/>
      <c r="E356" s="112"/>
      <c r="F356" s="112"/>
      <c r="G356" s="112"/>
      <c r="H356" s="112"/>
      <c r="I356" s="112"/>
      <c r="J356" s="112"/>
      <c r="K356" s="112"/>
      <c r="L356" s="112"/>
      <c r="M356" s="112"/>
    </row>
    <row r="357" spans="2:13" x14ac:dyDescent="0.4">
      <c r="B357" s="112"/>
      <c r="C357" s="112"/>
      <c r="D357" s="112"/>
      <c r="E357" s="112"/>
      <c r="F357" s="112"/>
      <c r="G357" s="112"/>
      <c r="H357" s="112"/>
      <c r="I357" s="112"/>
      <c r="J357" s="112"/>
      <c r="K357" s="112"/>
      <c r="L357" s="112"/>
      <c r="M357" s="112"/>
    </row>
    <row r="358" spans="2:13" x14ac:dyDescent="0.4">
      <c r="B358" s="112"/>
      <c r="C358" s="112"/>
      <c r="D358" s="112"/>
      <c r="E358" s="112"/>
      <c r="F358" s="112"/>
      <c r="G358" s="112"/>
      <c r="H358" s="112"/>
      <c r="I358" s="112"/>
      <c r="J358" s="112"/>
      <c r="K358" s="112"/>
      <c r="L358" s="112"/>
      <c r="M358" s="112"/>
    </row>
    <row r="359" spans="2:13" x14ac:dyDescent="0.4">
      <c r="B359" s="112"/>
      <c r="C359" s="112"/>
      <c r="D359" s="112"/>
      <c r="E359" s="112"/>
      <c r="F359" s="112"/>
      <c r="G359" s="112"/>
      <c r="H359" s="112"/>
      <c r="I359" s="112"/>
      <c r="J359" s="112"/>
      <c r="K359" s="112"/>
      <c r="L359" s="112"/>
      <c r="M359" s="112"/>
    </row>
    <row r="360" spans="2:13" x14ac:dyDescent="0.4">
      <c r="B360" s="112"/>
      <c r="C360" s="112"/>
      <c r="D360" s="112"/>
      <c r="E360" s="112"/>
      <c r="F360" s="112"/>
      <c r="G360" s="112"/>
      <c r="H360" s="112"/>
      <c r="I360" s="112"/>
      <c r="J360" s="112"/>
      <c r="K360" s="112"/>
      <c r="L360" s="112"/>
      <c r="M360" s="112"/>
    </row>
    <row r="361" spans="2:13" x14ac:dyDescent="0.4">
      <c r="B361" s="112"/>
      <c r="C361" s="112"/>
      <c r="D361" s="112"/>
      <c r="E361" s="112"/>
      <c r="F361" s="112"/>
      <c r="G361" s="112"/>
      <c r="H361" s="112"/>
      <c r="I361" s="112"/>
      <c r="J361" s="112"/>
      <c r="K361" s="112"/>
      <c r="L361" s="112"/>
      <c r="M361" s="112"/>
    </row>
    <row r="362" spans="2:13" x14ac:dyDescent="0.4">
      <c r="B362" s="112"/>
      <c r="C362" s="112"/>
      <c r="D362" s="112"/>
      <c r="E362" s="112"/>
      <c r="F362" s="112"/>
      <c r="G362" s="112"/>
      <c r="H362" s="112"/>
      <c r="I362" s="112"/>
      <c r="J362" s="112"/>
      <c r="K362" s="112"/>
      <c r="L362" s="112"/>
      <c r="M362" s="112"/>
    </row>
    <row r="363" spans="2:13" x14ac:dyDescent="0.4">
      <c r="B363" s="112"/>
      <c r="C363" s="112"/>
      <c r="D363" s="112"/>
      <c r="E363" s="112"/>
      <c r="F363" s="112"/>
      <c r="G363" s="112"/>
      <c r="H363" s="112"/>
      <c r="I363" s="112"/>
      <c r="J363" s="112"/>
      <c r="K363" s="112"/>
      <c r="L363" s="112"/>
      <c r="M363" s="112"/>
    </row>
    <row r="364" spans="2:13" x14ac:dyDescent="0.4">
      <c r="B364" s="112"/>
      <c r="C364" s="112"/>
      <c r="D364" s="112"/>
      <c r="E364" s="112"/>
      <c r="F364" s="112"/>
      <c r="G364" s="112"/>
      <c r="H364" s="112"/>
      <c r="I364" s="112"/>
      <c r="J364" s="112"/>
      <c r="K364" s="112"/>
      <c r="L364" s="112"/>
      <c r="M364" s="112"/>
    </row>
    <row r="365" spans="2:13" x14ac:dyDescent="0.4">
      <c r="B365" s="112"/>
      <c r="C365" s="112"/>
      <c r="D365" s="112"/>
      <c r="E365" s="112"/>
      <c r="F365" s="112"/>
      <c r="G365" s="112"/>
      <c r="H365" s="112"/>
      <c r="I365" s="112"/>
      <c r="J365" s="112"/>
      <c r="K365" s="112"/>
      <c r="L365" s="112"/>
      <c r="M365" s="112"/>
    </row>
    <row r="366" spans="2:13" x14ac:dyDescent="0.4">
      <c r="B366" s="112"/>
      <c r="C366" s="112"/>
      <c r="D366" s="112"/>
      <c r="E366" s="112"/>
      <c r="F366" s="112"/>
      <c r="G366" s="112"/>
      <c r="H366" s="112"/>
      <c r="I366" s="112"/>
      <c r="J366" s="112"/>
      <c r="K366" s="112"/>
      <c r="L366" s="112"/>
      <c r="M366" s="112"/>
    </row>
    <row r="367" spans="2:13" x14ac:dyDescent="0.4">
      <c r="B367" s="112"/>
      <c r="C367" s="112"/>
      <c r="D367" s="112"/>
      <c r="E367" s="112"/>
      <c r="F367" s="112"/>
      <c r="G367" s="112"/>
      <c r="H367" s="112"/>
      <c r="I367" s="112"/>
      <c r="J367" s="112"/>
      <c r="K367" s="112"/>
      <c r="L367" s="112"/>
      <c r="M367" s="112"/>
    </row>
    <row r="368" spans="2:13" x14ac:dyDescent="0.4">
      <c r="B368" s="112"/>
      <c r="C368" s="112"/>
      <c r="D368" s="112"/>
      <c r="E368" s="112"/>
      <c r="F368" s="112"/>
      <c r="G368" s="112"/>
      <c r="H368" s="112"/>
      <c r="I368" s="112"/>
      <c r="J368" s="112"/>
      <c r="K368" s="112"/>
      <c r="L368" s="112"/>
      <c r="M368" s="112"/>
    </row>
    <row r="369" spans="2:13" x14ac:dyDescent="0.4">
      <c r="B369" s="112"/>
      <c r="C369" s="112"/>
      <c r="D369" s="112"/>
      <c r="E369" s="112"/>
      <c r="F369" s="112"/>
      <c r="G369" s="112"/>
      <c r="H369" s="112"/>
      <c r="I369" s="112"/>
      <c r="J369" s="112"/>
      <c r="K369" s="112"/>
      <c r="L369" s="112"/>
      <c r="M369" s="112"/>
    </row>
    <row r="370" spans="2:13" x14ac:dyDescent="0.4">
      <c r="B370" s="112"/>
      <c r="C370" s="112"/>
      <c r="D370" s="112"/>
      <c r="E370" s="112"/>
      <c r="F370" s="112"/>
      <c r="G370" s="112"/>
      <c r="H370" s="112"/>
      <c r="I370" s="112"/>
      <c r="J370" s="112"/>
      <c r="K370" s="112"/>
      <c r="L370" s="112"/>
      <c r="M370" s="112"/>
    </row>
    <row r="371" spans="2:13" x14ac:dyDescent="0.4">
      <c r="B371" s="112"/>
      <c r="C371" s="112"/>
      <c r="D371" s="112"/>
      <c r="E371" s="112"/>
      <c r="F371" s="112"/>
      <c r="G371" s="112"/>
      <c r="H371" s="112"/>
      <c r="I371" s="112"/>
      <c r="J371" s="112"/>
      <c r="K371" s="112"/>
      <c r="L371" s="112"/>
      <c r="M371" s="112"/>
    </row>
    <row r="372" spans="2:13" x14ac:dyDescent="0.4">
      <c r="B372" s="112"/>
      <c r="C372" s="112"/>
      <c r="D372" s="112"/>
      <c r="E372" s="112"/>
      <c r="F372" s="112"/>
      <c r="G372" s="112"/>
      <c r="H372" s="112"/>
      <c r="I372" s="112"/>
      <c r="J372" s="112"/>
      <c r="K372" s="112"/>
      <c r="L372" s="112"/>
      <c r="M372" s="112"/>
    </row>
    <row r="373" spans="2:13" x14ac:dyDescent="0.4">
      <c r="B373" s="112"/>
      <c r="C373" s="112"/>
      <c r="D373" s="112"/>
      <c r="E373" s="112"/>
      <c r="F373" s="112"/>
      <c r="G373" s="112"/>
      <c r="H373" s="112"/>
      <c r="I373" s="112"/>
      <c r="J373" s="112"/>
      <c r="K373" s="112"/>
      <c r="L373" s="112"/>
      <c r="M373" s="112"/>
    </row>
    <row r="374" spans="2:13" x14ac:dyDescent="0.4">
      <c r="B374" s="112"/>
      <c r="C374" s="112"/>
      <c r="D374" s="112"/>
      <c r="E374" s="112"/>
      <c r="F374" s="112"/>
      <c r="G374" s="112"/>
      <c r="H374" s="112"/>
      <c r="I374" s="112"/>
      <c r="J374" s="112"/>
      <c r="K374" s="112"/>
      <c r="L374" s="112"/>
      <c r="M374" s="112"/>
    </row>
    <row r="375" spans="2:13" x14ac:dyDescent="0.4">
      <c r="B375" s="112"/>
      <c r="C375" s="112"/>
      <c r="D375" s="112"/>
      <c r="E375" s="112"/>
      <c r="F375" s="112"/>
      <c r="G375" s="112"/>
      <c r="H375" s="112"/>
      <c r="I375" s="112"/>
      <c r="J375" s="112"/>
      <c r="K375" s="112"/>
      <c r="L375" s="112"/>
      <c r="M375" s="112"/>
    </row>
    <row r="376" spans="2:13" x14ac:dyDescent="0.4">
      <c r="B376" s="112"/>
      <c r="C376" s="112"/>
      <c r="D376" s="112"/>
      <c r="E376" s="112"/>
      <c r="F376" s="112"/>
      <c r="G376" s="112"/>
      <c r="H376" s="112"/>
      <c r="I376" s="112"/>
      <c r="J376" s="112"/>
      <c r="K376" s="112"/>
      <c r="L376" s="112"/>
      <c r="M376" s="112"/>
    </row>
    <row r="377" spans="2:13" x14ac:dyDescent="0.4">
      <c r="B377" s="112"/>
      <c r="C377" s="112"/>
      <c r="D377" s="112"/>
      <c r="E377" s="112"/>
      <c r="F377" s="112"/>
      <c r="G377" s="112"/>
      <c r="H377" s="112"/>
      <c r="I377" s="112"/>
      <c r="J377" s="112"/>
      <c r="K377" s="112"/>
      <c r="L377" s="112"/>
      <c r="M377" s="112"/>
    </row>
    <row r="378" spans="2:13" x14ac:dyDescent="0.4">
      <c r="B378" s="112"/>
      <c r="C378" s="112"/>
      <c r="D378" s="112"/>
      <c r="E378" s="112"/>
      <c r="F378" s="112"/>
      <c r="G378" s="112"/>
      <c r="H378" s="112"/>
      <c r="I378" s="112"/>
      <c r="J378" s="112"/>
      <c r="K378" s="112"/>
      <c r="L378" s="112"/>
      <c r="M378" s="112"/>
    </row>
    <row r="379" spans="2:13" x14ac:dyDescent="0.4">
      <c r="B379" s="112"/>
      <c r="C379" s="112"/>
      <c r="D379" s="112"/>
      <c r="E379" s="112"/>
      <c r="F379" s="112"/>
      <c r="G379" s="112"/>
      <c r="H379" s="112"/>
      <c r="I379" s="112"/>
      <c r="J379" s="112"/>
      <c r="K379" s="112"/>
      <c r="L379" s="112"/>
      <c r="M379" s="112"/>
    </row>
    <row r="380" spans="2:13" x14ac:dyDescent="0.4">
      <c r="I380" s="112"/>
      <c r="J380" s="112"/>
      <c r="K380" s="112"/>
      <c r="L380" s="112"/>
      <c r="M380" s="112"/>
    </row>
    <row r="381" spans="2:13" x14ac:dyDescent="0.4">
      <c r="I381" s="112"/>
      <c r="J381" s="112"/>
      <c r="K381" s="112"/>
      <c r="L381" s="112"/>
      <c r="M381" s="112"/>
    </row>
  </sheetData>
  <mergeCells count="29">
    <mergeCell ref="B20:E20"/>
    <mergeCell ref="F20:F21"/>
    <mergeCell ref="A74:A75"/>
    <mergeCell ref="B74:F74"/>
    <mergeCell ref="C75:D75"/>
    <mergeCell ref="A52:A53"/>
    <mergeCell ref="B52:E52"/>
    <mergeCell ref="F52:F53"/>
    <mergeCell ref="A61:G61"/>
    <mergeCell ref="A72:G72"/>
    <mergeCell ref="A63:A64"/>
    <mergeCell ref="B63:E63"/>
    <mergeCell ref="F63:F64"/>
    <mergeCell ref="A50:G50"/>
    <mergeCell ref="A5:G5"/>
    <mergeCell ref="A8:G8"/>
    <mergeCell ref="A18:G18"/>
    <mergeCell ref="A28:G28"/>
    <mergeCell ref="A37:G37"/>
    <mergeCell ref="A30:A31"/>
    <mergeCell ref="B30:E30"/>
    <mergeCell ref="F30:F31"/>
    <mergeCell ref="A39:A40"/>
    <mergeCell ref="B39:E39"/>
    <mergeCell ref="F39:F40"/>
    <mergeCell ref="A10:A11"/>
    <mergeCell ref="B10:E10"/>
    <mergeCell ref="F10:F11"/>
    <mergeCell ref="A20:A21"/>
  </mergeCells>
  <phoneticPr fontId="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D29" sqref="D29"/>
    </sheetView>
  </sheetViews>
  <sheetFormatPr baseColWidth="10" defaultRowHeight="14.6" x14ac:dyDescent="0.4"/>
  <sheetData>
    <row r="1" spans="1:8" ht="28.3" x14ac:dyDescent="0.75">
      <c r="A1" s="214" t="s">
        <v>408</v>
      </c>
    </row>
    <row r="3" spans="1:8" ht="18.45" x14ac:dyDescent="0.5">
      <c r="A3" s="305" t="s">
        <v>409</v>
      </c>
    </row>
    <row r="4" spans="1:8" ht="172.5" customHeight="1" x14ac:dyDescent="0.4">
      <c r="A4" s="456" t="s">
        <v>410</v>
      </c>
      <c r="B4" s="456"/>
      <c r="C4" s="456"/>
      <c r="D4" s="456"/>
      <c r="E4" s="456"/>
      <c r="F4" s="456"/>
      <c r="G4" s="456"/>
      <c r="H4" s="456"/>
    </row>
    <row r="5" spans="1:8" ht="6" customHeight="1" x14ac:dyDescent="0.4"/>
    <row r="6" spans="1:8" ht="88.5" customHeight="1" x14ac:dyDescent="0.4">
      <c r="A6" s="457" t="s">
        <v>411</v>
      </c>
      <c r="B6" s="458"/>
      <c r="C6" s="458"/>
      <c r="D6" s="458"/>
      <c r="E6" s="458"/>
      <c r="F6" s="458"/>
      <c r="G6" s="458"/>
      <c r="H6" s="459"/>
    </row>
    <row r="8" spans="1:8" ht="18.45" x14ac:dyDescent="0.5">
      <c r="A8" s="305" t="s">
        <v>413</v>
      </c>
    </row>
    <row r="9" spans="1:8" ht="117.75" customHeight="1" x14ac:dyDescent="0.4">
      <c r="A9" s="460" t="s">
        <v>412</v>
      </c>
      <c r="B9" s="461"/>
      <c r="C9" s="461"/>
      <c r="D9" s="461"/>
      <c r="E9" s="461"/>
      <c r="F9" s="461"/>
      <c r="G9" s="461"/>
      <c r="H9" s="462"/>
    </row>
    <row r="11" spans="1:8" ht="18.45" x14ac:dyDescent="0.5">
      <c r="A11" s="305" t="s">
        <v>414</v>
      </c>
    </row>
    <row r="12" spans="1:8" ht="186.75" customHeight="1" x14ac:dyDescent="0.4">
      <c r="A12" s="463" t="s">
        <v>0</v>
      </c>
      <c r="B12" s="464"/>
      <c r="C12" s="464"/>
      <c r="D12" s="464"/>
      <c r="E12" s="464"/>
      <c r="F12" s="464"/>
      <c r="G12" s="464"/>
      <c r="H12" s="465"/>
    </row>
    <row r="14" spans="1:8" ht="18.45" x14ac:dyDescent="0.5">
      <c r="A14" s="305" t="s">
        <v>2</v>
      </c>
    </row>
    <row r="15" spans="1:8" ht="125.25" customHeight="1" x14ac:dyDescent="0.4">
      <c r="A15" s="466" t="s">
        <v>1</v>
      </c>
      <c r="B15" s="467"/>
      <c r="C15" s="467"/>
      <c r="D15" s="467"/>
      <c r="E15" s="467"/>
      <c r="F15" s="467"/>
      <c r="G15" s="467"/>
      <c r="H15" s="468"/>
    </row>
    <row r="17" spans="1:8" ht="18.45" x14ac:dyDescent="0.5">
      <c r="A17" s="305" t="s">
        <v>3</v>
      </c>
    </row>
    <row r="18" spans="1:8" ht="124.5" customHeight="1" x14ac:dyDescent="0.4">
      <c r="A18" s="328" t="s">
        <v>4</v>
      </c>
      <c r="B18" s="329"/>
      <c r="C18" s="329"/>
      <c r="D18" s="329"/>
      <c r="E18" s="329"/>
      <c r="F18" s="329"/>
      <c r="G18" s="329"/>
      <c r="H18" s="330"/>
    </row>
    <row r="19" spans="1:8" ht="6.75" customHeight="1" x14ac:dyDescent="0.4"/>
    <row r="20" spans="1:8" ht="71.25" customHeight="1" x14ac:dyDescent="0.4">
      <c r="A20" s="328" t="s">
        <v>5</v>
      </c>
      <c r="B20" s="329"/>
      <c r="C20" s="329"/>
      <c r="D20" s="329"/>
      <c r="E20" s="329"/>
      <c r="F20" s="329"/>
      <c r="G20" s="329"/>
      <c r="H20" s="330"/>
    </row>
  </sheetData>
  <mergeCells count="7">
    <mergeCell ref="A18:H18"/>
    <mergeCell ref="A20:H20"/>
    <mergeCell ref="A4:H4"/>
    <mergeCell ref="A6:H6"/>
    <mergeCell ref="A9:H9"/>
    <mergeCell ref="A12:H12"/>
    <mergeCell ref="A15:H15"/>
  </mergeCells>
  <phoneticPr fontId="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110" zoomScaleNormal="110" workbookViewId="0">
      <selection activeCell="D24" sqref="D24"/>
    </sheetView>
  </sheetViews>
  <sheetFormatPr baseColWidth="10" defaultRowHeight="14.6" x14ac:dyDescent="0.4"/>
  <cols>
    <col min="1" max="1" width="29.69140625" customWidth="1"/>
    <col min="2" max="2" width="9.3046875" customWidth="1"/>
    <col min="3" max="3" width="16.53515625" customWidth="1"/>
  </cols>
  <sheetData>
    <row r="1" spans="1:6" ht="28.3" x14ac:dyDescent="0.75">
      <c r="A1" s="214" t="s">
        <v>266</v>
      </c>
    </row>
    <row r="3" spans="1:6" ht="118.5" customHeight="1" x14ac:dyDescent="0.4">
      <c r="A3" s="334" t="s">
        <v>211</v>
      </c>
      <c r="B3" s="334"/>
      <c r="C3" s="334"/>
      <c r="D3" s="334"/>
      <c r="E3" s="334"/>
      <c r="F3" s="334"/>
    </row>
    <row r="5" spans="1:6" x14ac:dyDescent="0.4">
      <c r="A5" t="s">
        <v>212</v>
      </c>
    </row>
    <row r="6" spans="1:6" x14ac:dyDescent="0.4">
      <c r="A6" s="31" t="s">
        <v>33</v>
      </c>
      <c r="B6" s="35" t="s">
        <v>35</v>
      </c>
      <c r="C6" s="31" t="s">
        <v>354</v>
      </c>
    </row>
    <row r="7" spans="1:6" x14ac:dyDescent="0.4">
      <c r="A7" s="32" t="s">
        <v>30</v>
      </c>
      <c r="B7" s="33">
        <f>+SUM(B8:B11)</f>
        <v>7</v>
      </c>
      <c r="C7" s="335">
        <v>400</v>
      </c>
    </row>
    <row r="8" spans="1:6" x14ac:dyDescent="0.4">
      <c r="A8" s="11" t="s">
        <v>39</v>
      </c>
      <c r="B8" s="38">
        <v>2.25</v>
      </c>
      <c r="C8" s="336"/>
    </row>
    <row r="9" spans="1:6" x14ac:dyDescent="0.4">
      <c r="A9" s="11" t="s">
        <v>40</v>
      </c>
      <c r="B9" s="38">
        <v>1.5</v>
      </c>
      <c r="C9" s="336"/>
    </row>
    <row r="10" spans="1:6" x14ac:dyDescent="0.4">
      <c r="A10" s="11" t="s">
        <v>41</v>
      </c>
      <c r="B10" s="38">
        <v>1.25</v>
      </c>
      <c r="C10" s="336"/>
    </row>
    <row r="11" spans="1:6" x14ac:dyDescent="0.4">
      <c r="A11" s="12" t="s">
        <v>42</v>
      </c>
      <c r="B11" s="39">
        <v>2</v>
      </c>
      <c r="C11" s="337"/>
    </row>
    <row r="12" spans="1:6" x14ac:dyDescent="0.4">
      <c r="A12" s="36" t="s">
        <v>31</v>
      </c>
      <c r="B12" s="37">
        <f>+B14+B13</f>
        <v>15</v>
      </c>
      <c r="C12" s="338">
        <v>200</v>
      </c>
    </row>
    <row r="13" spans="1:6" x14ac:dyDescent="0.4">
      <c r="A13" s="40" t="s">
        <v>36</v>
      </c>
      <c r="B13" s="41">
        <v>10</v>
      </c>
      <c r="C13" s="339"/>
    </row>
    <row r="14" spans="1:6" x14ac:dyDescent="0.4">
      <c r="A14" s="42" t="s">
        <v>37</v>
      </c>
      <c r="B14" s="43">
        <v>5</v>
      </c>
      <c r="C14" s="340"/>
    </row>
    <row r="15" spans="1:6" x14ac:dyDescent="0.4">
      <c r="A15" s="29" t="s">
        <v>32</v>
      </c>
      <c r="B15" s="30">
        <f>+B7+B12</f>
        <v>22</v>
      </c>
      <c r="C15" s="341"/>
    </row>
    <row r="16" spans="1:6" x14ac:dyDescent="0.4">
      <c r="A16" s="216" t="s">
        <v>213</v>
      </c>
      <c r="B16" s="217">
        <v>0</v>
      </c>
      <c r="C16" s="342"/>
    </row>
    <row r="17" spans="1:3" x14ac:dyDescent="0.4">
      <c r="A17" s="218" t="s">
        <v>214</v>
      </c>
      <c r="B17" s="219">
        <v>0</v>
      </c>
      <c r="C17" s="343"/>
    </row>
    <row r="24" spans="1:3" x14ac:dyDescent="0.4">
      <c r="B24" s="27"/>
      <c r="C24" s="148"/>
    </row>
    <row r="25" spans="1:3" x14ac:dyDescent="0.4">
      <c r="B25" s="27"/>
      <c r="C25" s="148"/>
    </row>
    <row r="26" spans="1:3" x14ac:dyDescent="0.4">
      <c r="B26" s="27"/>
      <c r="C26" s="148"/>
    </row>
    <row r="27" spans="1:3" x14ac:dyDescent="0.4">
      <c r="B27" s="27"/>
    </row>
    <row r="29" spans="1:3" x14ac:dyDescent="0.4">
      <c r="B29" s="27"/>
      <c r="C29" s="148"/>
    </row>
    <row r="30" spans="1:3" x14ac:dyDescent="0.4">
      <c r="B30" s="27"/>
      <c r="C30" s="148"/>
    </row>
    <row r="31" spans="1:3" x14ac:dyDescent="0.4">
      <c r="B31" s="27"/>
      <c r="C31" s="148"/>
    </row>
    <row r="32" spans="1:3" x14ac:dyDescent="0.4">
      <c r="B32" s="10"/>
    </row>
  </sheetData>
  <mergeCells count="4">
    <mergeCell ref="A3:F3"/>
    <mergeCell ref="C7:C11"/>
    <mergeCell ref="C12:C14"/>
    <mergeCell ref="C15:C17"/>
  </mergeCells>
  <phoneticPr fontId="0"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topLeftCell="A19" zoomScale="110" zoomScaleNormal="110" workbookViewId="0">
      <selection activeCell="G34" sqref="G34"/>
    </sheetView>
  </sheetViews>
  <sheetFormatPr baseColWidth="10" defaultRowHeight="14.6" x14ac:dyDescent="0.4"/>
  <cols>
    <col min="1" max="1" width="29.3046875" customWidth="1"/>
    <col min="3" max="3" width="24.69140625" customWidth="1"/>
  </cols>
  <sheetData>
    <row r="1" spans="1:4" ht="28.3" x14ac:dyDescent="0.75">
      <c r="A1" s="214" t="s">
        <v>220</v>
      </c>
    </row>
    <row r="3" spans="1:4" ht="87" customHeight="1" x14ac:dyDescent="0.4">
      <c r="A3" s="344" t="s">
        <v>226</v>
      </c>
      <c r="B3" s="345"/>
      <c r="C3" s="345"/>
      <c r="D3" s="346"/>
    </row>
    <row r="5" spans="1:4" ht="18" customHeight="1" x14ac:dyDescent="0.5">
      <c r="A5" s="347" t="s">
        <v>255</v>
      </c>
      <c r="B5" s="347"/>
      <c r="C5" s="347"/>
      <c r="D5" s="347"/>
    </row>
    <row r="6" spans="1:4" ht="18" customHeight="1" x14ac:dyDescent="0.45">
      <c r="A6" s="349" t="s">
        <v>227</v>
      </c>
      <c r="B6" s="349"/>
      <c r="C6" s="349" t="s">
        <v>228</v>
      </c>
      <c r="D6" s="349"/>
    </row>
    <row r="7" spans="1:4" x14ac:dyDescent="0.4">
      <c r="A7" s="223" t="s">
        <v>221</v>
      </c>
      <c r="B7" s="224">
        <v>4500</v>
      </c>
      <c r="C7" s="223" t="s">
        <v>86</v>
      </c>
      <c r="D7" s="224">
        <v>44290</v>
      </c>
    </row>
    <row r="8" spans="1:4" x14ac:dyDescent="0.4">
      <c r="A8" s="223" t="s">
        <v>222</v>
      </c>
      <c r="B8" s="224">
        <v>25000</v>
      </c>
      <c r="C8" s="223" t="s">
        <v>25</v>
      </c>
      <c r="D8" s="224">
        <v>25000</v>
      </c>
    </row>
    <row r="9" spans="1:4" x14ac:dyDescent="0.4">
      <c r="A9" s="223" t="s">
        <v>26</v>
      </c>
      <c r="B9" s="224">
        <v>1100</v>
      </c>
      <c r="C9" s="223" t="s">
        <v>223</v>
      </c>
      <c r="D9" s="224">
        <v>5900</v>
      </c>
    </row>
    <row r="10" spans="1:4" x14ac:dyDescent="0.4">
      <c r="A10" s="223" t="s">
        <v>27</v>
      </c>
      <c r="B10" s="224">
        <v>1480</v>
      </c>
      <c r="C10" s="223"/>
      <c r="D10" s="224"/>
    </row>
    <row r="11" spans="1:4" x14ac:dyDescent="0.4">
      <c r="A11" s="223" t="s">
        <v>224</v>
      </c>
      <c r="B11" s="224">
        <v>11300</v>
      </c>
      <c r="C11" s="223"/>
      <c r="D11" s="224"/>
    </row>
    <row r="12" spans="1:4" x14ac:dyDescent="0.4">
      <c r="A12" s="223" t="s">
        <v>225</v>
      </c>
      <c r="B12" s="224">
        <v>6799.666666666667</v>
      </c>
      <c r="C12" s="223"/>
      <c r="D12" s="224"/>
    </row>
    <row r="13" spans="1:4" x14ac:dyDescent="0.4">
      <c r="A13" s="236" t="s">
        <v>260</v>
      </c>
      <c r="B13" s="237">
        <f>+D14-SUM(B7:B12)</f>
        <v>25010.333333333336</v>
      </c>
      <c r="C13" s="227"/>
      <c r="D13" s="228"/>
    </row>
    <row r="14" spans="1:4" x14ac:dyDescent="0.4">
      <c r="A14" s="225" t="s">
        <v>44</v>
      </c>
      <c r="B14" s="226">
        <f>+D14</f>
        <v>75190</v>
      </c>
      <c r="C14" s="225" t="s">
        <v>44</v>
      </c>
      <c r="D14" s="226">
        <f>SUM(D7:D13)</f>
        <v>75190</v>
      </c>
    </row>
    <row r="16" spans="1:4" ht="78" customHeight="1" x14ac:dyDescent="0.4">
      <c r="A16" s="344" t="s">
        <v>257</v>
      </c>
      <c r="B16" s="345"/>
      <c r="C16" s="345"/>
      <c r="D16" s="346"/>
    </row>
    <row r="17" spans="1:4" ht="6.75" customHeight="1" x14ac:dyDescent="0.4"/>
    <row r="18" spans="1:4" ht="88.5" customHeight="1" x14ac:dyDescent="0.4">
      <c r="A18" s="344" t="s">
        <v>258</v>
      </c>
      <c r="B18" s="345"/>
      <c r="C18" s="345"/>
      <c r="D18" s="346"/>
    </row>
    <row r="20" spans="1:4" ht="18.45" x14ac:dyDescent="0.5">
      <c r="A20" s="350" t="s">
        <v>256</v>
      </c>
      <c r="B20" s="350"/>
      <c r="C20" s="350"/>
      <c r="D20" s="350"/>
    </row>
    <row r="21" spans="1:4" x14ac:dyDescent="0.4">
      <c r="A21" s="348" t="s">
        <v>227</v>
      </c>
      <c r="B21" s="348"/>
      <c r="C21" s="348" t="s">
        <v>228</v>
      </c>
      <c r="D21" s="348"/>
    </row>
    <row r="22" spans="1:4" x14ac:dyDescent="0.4">
      <c r="A22" s="230" t="s">
        <v>229</v>
      </c>
      <c r="B22" s="231">
        <v>456</v>
      </c>
      <c r="C22" s="230" t="s">
        <v>230</v>
      </c>
      <c r="D22" s="232">
        <v>39112</v>
      </c>
    </row>
    <row r="23" spans="1:4" x14ac:dyDescent="0.4">
      <c r="A23" s="230" t="s">
        <v>231</v>
      </c>
      <c r="B23" s="319">
        <v>815</v>
      </c>
      <c r="C23" s="230" t="s">
        <v>232</v>
      </c>
      <c r="D23" s="231">
        <v>165</v>
      </c>
    </row>
    <row r="24" spans="1:4" x14ac:dyDescent="0.4">
      <c r="A24" s="230" t="s">
        <v>233</v>
      </c>
      <c r="B24" s="319">
        <v>368</v>
      </c>
      <c r="C24" s="230" t="s">
        <v>234</v>
      </c>
      <c r="D24" s="232">
        <v>2101</v>
      </c>
    </row>
    <row r="25" spans="1:4" x14ac:dyDescent="0.4">
      <c r="A25" s="230" t="s">
        <v>235</v>
      </c>
      <c r="B25" s="232">
        <v>2364</v>
      </c>
      <c r="C25" s="230" t="s">
        <v>236</v>
      </c>
      <c r="D25" s="232">
        <v>2912</v>
      </c>
    </row>
    <row r="26" spans="1:4" x14ac:dyDescent="0.4">
      <c r="A26" s="230" t="s">
        <v>237</v>
      </c>
      <c r="B26" s="231">
        <v>497</v>
      </c>
      <c r="C26" s="230" t="s">
        <v>238</v>
      </c>
      <c r="D26" s="232">
        <v>7450</v>
      </c>
    </row>
    <row r="27" spans="1:4" x14ac:dyDescent="0.4">
      <c r="A27" s="230" t="s">
        <v>239</v>
      </c>
      <c r="B27" s="232">
        <v>1250</v>
      </c>
      <c r="C27" s="230" t="s">
        <v>240</v>
      </c>
      <c r="D27" s="232">
        <v>-1550</v>
      </c>
    </row>
    <row r="28" spans="1:4" x14ac:dyDescent="0.4">
      <c r="A28" s="230" t="s">
        <v>241</v>
      </c>
      <c r="B28" s="232">
        <v>4550</v>
      </c>
      <c r="C28" s="230" t="s">
        <v>242</v>
      </c>
      <c r="D28" s="232">
        <v>25000</v>
      </c>
    </row>
    <row r="29" spans="1:4" x14ac:dyDescent="0.4">
      <c r="A29" s="230" t="s">
        <v>243</v>
      </c>
      <c r="B29" s="231">
        <v>795</v>
      </c>
      <c r="C29" s="230"/>
      <c r="D29" s="231"/>
    </row>
    <row r="30" spans="1:4" x14ac:dyDescent="0.4">
      <c r="A30" s="230" t="s">
        <v>244</v>
      </c>
      <c r="B30" s="232">
        <v>1200</v>
      </c>
      <c r="C30" s="230"/>
      <c r="D30" s="231"/>
    </row>
    <row r="31" spans="1:4" x14ac:dyDescent="0.4">
      <c r="A31" s="230" t="s">
        <v>245</v>
      </c>
      <c r="B31" s="232">
        <v>1075</v>
      </c>
      <c r="C31" s="230"/>
      <c r="D31" s="231"/>
    </row>
    <row r="32" spans="1:4" x14ac:dyDescent="0.4">
      <c r="A32" s="230" t="s">
        <v>246</v>
      </c>
      <c r="B32" s="231">
        <v>600</v>
      </c>
      <c r="C32" s="230"/>
      <c r="D32" s="231"/>
    </row>
    <row r="33" spans="1:4" x14ac:dyDescent="0.4">
      <c r="A33" s="230" t="s">
        <v>247</v>
      </c>
      <c r="B33" s="232">
        <v>1250</v>
      </c>
      <c r="C33" s="230"/>
      <c r="D33" s="231"/>
    </row>
    <row r="34" spans="1:4" x14ac:dyDescent="0.4">
      <c r="A34" s="230" t="s">
        <v>248</v>
      </c>
      <c r="B34" s="231">
        <v>580</v>
      </c>
      <c r="C34" s="230"/>
      <c r="D34" s="231"/>
    </row>
    <row r="35" spans="1:4" x14ac:dyDescent="0.4">
      <c r="A35" s="230" t="s">
        <v>249</v>
      </c>
      <c r="B35" s="232">
        <v>7520</v>
      </c>
      <c r="C35" s="230"/>
      <c r="D35" s="231"/>
    </row>
    <row r="36" spans="1:4" x14ac:dyDescent="0.4">
      <c r="A36" s="230" t="s">
        <v>250</v>
      </c>
      <c r="B36" s="232">
        <v>6180</v>
      </c>
      <c r="C36" s="230"/>
      <c r="D36" s="231"/>
    </row>
    <row r="37" spans="1:4" x14ac:dyDescent="0.4">
      <c r="A37" s="230" t="s">
        <v>251</v>
      </c>
      <c r="B37" s="232">
        <v>1100</v>
      </c>
      <c r="C37" s="230"/>
      <c r="D37" s="231"/>
    </row>
    <row r="38" spans="1:4" x14ac:dyDescent="0.4">
      <c r="A38" s="230" t="s">
        <v>252</v>
      </c>
      <c r="B38" s="232">
        <v>1480</v>
      </c>
      <c r="C38" s="230"/>
      <c r="D38" s="231"/>
    </row>
    <row r="39" spans="1:4" x14ac:dyDescent="0.4">
      <c r="A39" s="230" t="s">
        <v>253</v>
      </c>
      <c r="B39" s="232">
        <v>11300</v>
      </c>
      <c r="C39" s="230"/>
      <c r="D39" s="231"/>
    </row>
    <row r="40" spans="1:4" x14ac:dyDescent="0.4">
      <c r="A40" s="230" t="s">
        <v>254</v>
      </c>
      <c r="B40" s="232">
        <v>6800</v>
      </c>
      <c r="C40" s="230"/>
      <c r="D40" s="231"/>
    </row>
    <row r="41" spans="1:4" x14ac:dyDescent="0.4">
      <c r="A41" s="236" t="s">
        <v>260</v>
      </c>
      <c r="B41" s="238">
        <v>25010</v>
      </c>
      <c r="C41" s="233"/>
      <c r="D41" s="234"/>
    </row>
    <row r="42" spans="1:4" x14ac:dyDescent="0.4">
      <c r="A42" s="229"/>
      <c r="B42" s="235">
        <v>75190</v>
      </c>
      <c r="C42" s="229"/>
      <c r="D42" s="235">
        <v>75190</v>
      </c>
    </row>
    <row r="44" spans="1:4" ht="117.75" customHeight="1" x14ac:dyDescent="0.4">
      <c r="A44" s="344" t="s">
        <v>259</v>
      </c>
      <c r="B44" s="345"/>
      <c r="C44" s="345"/>
      <c r="D44" s="346"/>
    </row>
  </sheetData>
  <mergeCells count="10">
    <mergeCell ref="A44:D44"/>
    <mergeCell ref="A5:D5"/>
    <mergeCell ref="A3:D3"/>
    <mergeCell ref="A21:B21"/>
    <mergeCell ref="C21:D21"/>
    <mergeCell ref="A6:B6"/>
    <mergeCell ref="C6:D6"/>
    <mergeCell ref="A20:D20"/>
    <mergeCell ref="A16:D16"/>
    <mergeCell ref="A18:D18"/>
  </mergeCells>
  <phoneticPr fontId="0" type="noConversion"/>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110" zoomScaleNormal="110" workbookViewId="0">
      <selection activeCell="B12" sqref="B12"/>
    </sheetView>
  </sheetViews>
  <sheetFormatPr baseColWidth="10" defaultRowHeight="14.6" x14ac:dyDescent="0.4"/>
  <cols>
    <col min="1" max="1" width="35" customWidth="1"/>
    <col min="2" max="2" width="9.84375" customWidth="1"/>
    <col min="3" max="3" width="5.3828125" customWidth="1"/>
    <col min="8" max="8" width="15.3828125" customWidth="1"/>
  </cols>
  <sheetData>
    <row r="1" spans="1:8" ht="28.3" x14ac:dyDescent="0.75">
      <c r="A1" s="214" t="s">
        <v>261</v>
      </c>
    </row>
    <row r="3" spans="1:8" ht="88.5" customHeight="1" x14ac:dyDescent="0.4">
      <c r="A3" s="334" t="s">
        <v>262</v>
      </c>
      <c r="B3" s="334"/>
      <c r="C3" s="334"/>
      <c r="D3" s="334"/>
      <c r="E3" s="334"/>
      <c r="F3" s="334"/>
      <c r="G3" s="334"/>
      <c r="H3" s="334"/>
    </row>
    <row r="5" spans="1:8" x14ac:dyDescent="0.4">
      <c r="A5" s="45" t="s">
        <v>33</v>
      </c>
      <c r="B5" s="53" t="s">
        <v>43</v>
      </c>
    </row>
    <row r="6" spans="1:8" ht="16" customHeight="1" x14ac:dyDescent="0.4">
      <c r="A6" s="3" t="s">
        <v>21</v>
      </c>
      <c r="B6" s="100">
        <f>+GuV!D22</f>
        <v>39112</v>
      </c>
      <c r="D6" s="354" t="s">
        <v>263</v>
      </c>
      <c r="E6" s="354"/>
      <c r="F6" s="354"/>
      <c r="G6" s="354"/>
      <c r="H6" s="354"/>
    </row>
    <row r="7" spans="1:8" ht="16" customHeight="1" x14ac:dyDescent="0.4">
      <c r="A7" s="4" t="s">
        <v>152</v>
      </c>
      <c r="B7" s="101">
        <f>+GuV!D24</f>
        <v>2101</v>
      </c>
      <c r="D7" s="354"/>
      <c r="E7" s="354"/>
      <c r="F7" s="354"/>
      <c r="G7" s="354"/>
      <c r="H7" s="354"/>
    </row>
    <row r="8" spans="1:8" ht="16" customHeight="1" x14ac:dyDescent="0.4">
      <c r="A8" s="4" t="s">
        <v>23</v>
      </c>
      <c r="B8" s="101">
        <f>+GuV!D25</f>
        <v>2912</v>
      </c>
      <c r="D8" s="354"/>
      <c r="E8" s="354"/>
      <c r="F8" s="354"/>
      <c r="G8" s="354"/>
      <c r="H8" s="354"/>
    </row>
    <row r="9" spans="1:8" ht="16" customHeight="1" x14ac:dyDescent="0.4">
      <c r="A9" s="4" t="s">
        <v>24</v>
      </c>
      <c r="B9" s="101">
        <f>+GuV!D26</f>
        <v>7450</v>
      </c>
      <c r="D9" s="354"/>
      <c r="E9" s="354"/>
      <c r="F9" s="354"/>
      <c r="G9" s="354"/>
      <c r="H9" s="354"/>
    </row>
    <row r="10" spans="1:8" ht="16" customHeight="1" x14ac:dyDescent="0.4">
      <c r="A10" s="4" t="s">
        <v>25</v>
      </c>
      <c r="B10" s="101">
        <f>+GuV!D28</f>
        <v>25000</v>
      </c>
      <c r="D10" s="354"/>
      <c r="E10" s="354"/>
      <c r="F10" s="354"/>
      <c r="G10" s="354"/>
      <c r="H10" s="354"/>
    </row>
    <row r="11" spans="1:8" ht="16" customHeight="1" x14ac:dyDescent="0.4">
      <c r="A11" s="4" t="s">
        <v>51</v>
      </c>
      <c r="B11" s="101">
        <f>+GuV!D23</f>
        <v>165</v>
      </c>
      <c r="D11" s="354"/>
      <c r="E11" s="354"/>
      <c r="F11" s="354"/>
      <c r="G11" s="354"/>
      <c r="H11" s="354"/>
    </row>
    <row r="12" spans="1:8" ht="16" customHeight="1" x14ac:dyDescent="0.4">
      <c r="A12" s="4" t="s">
        <v>50</v>
      </c>
      <c r="B12" s="101">
        <f>+GuV!D27</f>
        <v>-1550</v>
      </c>
      <c r="D12" s="354"/>
      <c r="E12" s="354"/>
      <c r="F12" s="354"/>
      <c r="G12" s="354"/>
      <c r="H12" s="354"/>
    </row>
    <row r="13" spans="1:8" s="28" customFormat="1" ht="16" customHeight="1" x14ac:dyDescent="0.4">
      <c r="A13" s="47" t="s">
        <v>52</v>
      </c>
      <c r="B13" s="102">
        <f>SUM(B6:B12)</f>
        <v>75190</v>
      </c>
    </row>
    <row r="14" spans="1:8" ht="16" customHeight="1" x14ac:dyDescent="0.4">
      <c r="A14" s="4" t="s">
        <v>38</v>
      </c>
      <c r="B14" s="101">
        <f>+GuV!B22</f>
        <v>456</v>
      </c>
      <c r="D14" s="353" t="s">
        <v>264</v>
      </c>
      <c r="E14" s="353"/>
      <c r="F14" s="353"/>
      <c r="G14" s="353"/>
      <c r="H14" s="353"/>
    </row>
    <row r="15" spans="1:8" ht="16" customHeight="1" x14ac:dyDescent="0.4">
      <c r="A15" s="4" t="s">
        <v>53</v>
      </c>
      <c r="B15" s="101">
        <f>+GuV!B24</f>
        <v>368</v>
      </c>
      <c r="D15" s="353"/>
      <c r="E15" s="353"/>
      <c r="F15" s="353"/>
      <c r="G15" s="353"/>
      <c r="H15" s="353"/>
    </row>
    <row r="16" spans="1:8" ht="16" customHeight="1" x14ac:dyDescent="0.4">
      <c r="A16" s="4" t="s">
        <v>54</v>
      </c>
      <c r="B16" s="101">
        <f>+GuV!B23</f>
        <v>815</v>
      </c>
      <c r="D16" s="353"/>
      <c r="E16" s="353"/>
      <c r="F16" s="353"/>
      <c r="G16" s="353"/>
      <c r="H16" s="353"/>
    </row>
    <row r="17" spans="1:8" ht="16" customHeight="1" x14ac:dyDescent="0.4">
      <c r="A17" s="4" t="s">
        <v>55</v>
      </c>
      <c r="B17" s="101">
        <f>+GuV!B26</f>
        <v>497</v>
      </c>
      <c r="D17" s="353"/>
      <c r="E17" s="353"/>
      <c r="F17" s="353"/>
      <c r="G17" s="353"/>
      <c r="H17" s="353"/>
    </row>
    <row r="18" spans="1:8" ht="16" customHeight="1" x14ac:dyDescent="0.4">
      <c r="A18" s="286" t="s">
        <v>46</v>
      </c>
      <c r="B18" s="101">
        <f>+GuV!B27</f>
        <v>1250</v>
      </c>
      <c r="D18" s="353"/>
      <c r="E18" s="353"/>
      <c r="F18" s="353"/>
      <c r="G18" s="353"/>
      <c r="H18" s="353"/>
    </row>
    <row r="19" spans="1:8" ht="16" customHeight="1" x14ac:dyDescent="0.4">
      <c r="A19" s="286" t="s">
        <v>45</v>
      </c>
      <c r="B19" s="101">
        <f>+GuV!B28</f>
        <v>4550</v>
      </c>
      <c r="D19" s="353"/>
      <c r="E19" s="353"/>
      <c r="F19" s="353"/>
      <c r="G19" s="353"/>
      <c r="H19" s="353"/>
    </row>
    <row r="20" spans="1:8" ht="16" customHeight="1" x14ac:dyDescent="0.4">
      <c r="A20" s="286" t="s">
        <v>49</v>
      </c>
      <c r="B20" s="101">
        <f>+GuV!B29</f>
        <v>795</v>
      </c>
      <c r="D20" s="353"/>
      <c r="E20" s="353"/>
      <c r="F20" s="353"/>
      <c r="G20" s="353"/>
      <c r="H20" s="353"/>
    </row>
    <row r="21" spans="1:8" ht="16" customHeight="1" x14ac:dyDescent="0.4">
      <c r="A21" s="286" t="s">
        <v>368</v>
      </c>
      <c r="B21" s="101">
        <f>+GuV!B30</f>
        <v>1200</v>
      </c>
      <c r="D21" s="353"/>
      <c r="E21" s="353"/>
      <c r="F21" s="353"/>
      <c r="G21" s="353"/>
      <c r="H21" s="353"/>
    </row>
    <row r="22" spans="1:8" ht="16" customHeight="1" x14ac:dyDescent="0.4">
      <c r="A22" s="286" t="s">
        <v>47</v>
      </c>
      <c r="B22" s="101">
        <f>+GuV!B31</f>
        <v>1075</v>
      </c>
      <c r="D22" s="353"/>
      <c r="E22" s="353"/>
      <c r="F22" s="353"/>
      <c r="G22" s="353"/>
      <c r="H22" s="353"/>
    </row>
    <row r="23" spans="1:8" ht="16" customHeight="1" x14ac:dyDescent="0.4">
      <c r="A23" s="286" t="s">
        <v>48</v>
      </c>
      <c r="B23" s="101">
        <f>+GuV!B32</f>
        <v>600</v>
      </c>
      <c r="D23" s="353"/>
      <c r="E23" s="353"/>
      <c r="F23" s="353"/>
      <c r="G23" s="353"/>
      <c r="H23" s="353"/>
    </row>
    <row r="24" spans="1:8" ht="16" customHeight="1" x14ac:dyDescent="0.4">
      <c r="A24" s="287" t="s">
        <v>170</v>
      </c>
      <c r="B24" s="101">
        <f>+GuV!B33</f>
        <v>1250</v>
      </c>
      <c r="D24" s="353"/>
      <c r="E24" s="353"/>
      <c r="F24" s="353"/>
      <c r="G24" s="353"/>
      <c r="H24" s="353"/>
    </row>
    <row r="25" spans="1:8" ht="16" customHeight="1" x14ac:dyDescent="0.4">
      <c r="A25" s="287" t="s">
        <v>119</v>
      </c>
      <c r="B25" s="101">
        <f>+GuV!B34</f>
        <v>580</v>
      </c>
      <c r="D25" s="353"/>
      <c r="E25" s="353"/>
      <c r="F25" s="353"/>
      <c r="G25" s="353"/>
      <c r="H25" s="353"/>
    </row>
    <row r="26" spans="1:8" ht="16" customHeight="1" x14ac:dyDescent="0.4">
      <c r="A26" s="4" t="s">
        <v>149</v>
      </c>
      <c r="B26" s="101">
        <f>+GuV!B35</f>
        <v>7520</v>
      </c>
      <c r="D26" s="353"/>
      <c r="E26" s="353"/>
      <c r="F26" s="353"/>
      <c r="G26" s="353"/>
      <c r="H26" s="353"/>
    </row>
    <row r="27" spans="1:8" s="28" customFormat="1" ht="16" customHeight="1" x14ac:dyDescent="0.4">
      <c r="A27" s="52" t="s">
        <v>57</v>
      </c>
      <c r="B27" s="102">
        <f>SUM(B14:B26)</f>
        <v>20956</v>
      </c>
    </row>
    <row r="28" spans="1:8" s="28" customFormat="1" ht="16" customHeight="1" x14ac:dyDescent="0.4">
      <c r="A28" s="110" t="s">
        <v>58</v>
      </c>
      <c r="B28" s="111">
        <f>+B13-B27</f>
        <v>54234</v>
      </c>
    </row>
    <row r="29" spans="1:8" ht="16" customHeight="1" x14ac:dyDescent="0.4">
      <c r="A29" s="4" t="s">
        <v>56</v>
      </c>
      <c r="B29" s="101">
        <f>+GuV!B25</f>
        <v>2364</v>
      </c>
      <c r="D29" s="351" t="s">
        <v>265</v>
      </c>
      <c r="E29" s="351"/>
      <c r="F29" s="351"/>
      <c r="G29" s="351"/>
      <c r="H29" s="351"/>
    </row>
    <row r="30" spans="1:8" ht="16" customHeight="1" x14ac:dyDescent="0.4">
      <c r="A30" s="4" t="s">
        <v>29</v>
      </c>
      <c r="B30" s="101">
        <f>+GuV!B40</f>
        <v>6800</v>
      </c>
      <c r="D30" s="351"/>
      <c r="E30" s="351"/>
      <c r="F30" s="351"/>
      <c r="G30" s="351"/>
      <c r="H30" s="351"/>
    </row>
    <row r="31" spans="1:8" ht="16" customHeight="1" x14ac:dyDescent="0.4">
      <c r="A31" s="4" t="s">
        <v>27</v>
      </c>
      <c r="B31" s="101">
        <f>+GuV!B38</f>
        <v>1480</v>
      </c>
      <c r="D31" s="351"/>
      <c r="E31" s="351"/>
      <c r="F31" s="351"/>
      <c r="G31" s="351"/>
      <c r="H31" s="351"/>
    </row>
    <row r="32" spans="1:8" ht="16" customHeight="1" x14ac:dyDescent="0.4">
      <c r="A32" s="4" t="s">
        <v>28</v>
      </c>
      <c r="B32" s="101">
        <f>+GuV!B39</f>
        <v>11300</v>
      </c>
      <c r="D32" s="351"/>
      <c r="E32" s="351"/>
      <c r="F32" s="351"/>
      <c r="G32" s="351"/>
      <c r="H32" s="351"/>
    </row>
    <row r="33" spans="1:12" ht="16" customHeight="1" x14ac:dyDescent="0.4">
      <c r="A33" s="4" t="s">
        <v>150</v>
      </c>
      <c r="B33" s="101">
        <f>+GuV!B36</f>
        <v>6180</v>
      </c>
      <c r="D33" s="351"/>
      <c r="E33" s="351"/>
      <c r="F33" s="351"/>
      <c r="G33" s="351"/>
      <c r="H33" s="351"/>
    </row>
    <row r="34" spans="1:12" s="28" customFormat="1" ht="16" customHeight="1" x14ac:dyDescent="0.4">
      <c r="A34" s="52" t="s">
        <v>59</v>
      </c>
      <c r="B34" s="102">
        <f>SUM(B29:B33)</f>
        <v>28124</v>
      </c>
      <c r="D34" s="351"/>
      <c r="E34" s="351"/>
      <c r="F34" s="351"/>
      <c r="G34" s="351"/>
      <c r="H34" s="351"/>
    </row>
    <row r="35" spans="1:12" s="49" customFormat="1" ht="16" customHeight="1" x14ac:dyDescent="0.4">
      <c r="A35" s="52" t="s">
        <v>62</v>
      </c>
      <c r="B35" s="103">
        <v>0</v>
      </c>
      <c r="C35" s="50"/>
      <c r="D35" s="50"/>
      <c r="E35" s="50"/>
      <c r="F35" s="50"/>
      <c r="G35" s="50"/>
      <c r="H35" s="50"/>
      <c r="I35" s="50"/>
      <c r="J35" s="50"/>
      <c r="K35" s="50"/>
      <c r="L35" s="50"/>
    </row>
    <row r="36" spans="1:12" s="28" customFormat="1" ht="16" customHeight="1" x14ac:dyDescent="0.4">
      <c r="A36" s="108" t="s">
        <v>60</v>
      </c>
      <c r="B36" s="109">
        <f>+B28-B34</f>
        <v>26110</v>
      </c>
    </row>
    <row r="37" spans="1:12" ht="16" customHeight="1" x14ac:dyDescent="0.4">
      <c r="A37" s="4" t="s">
        <v>61</v>
      </c>
      <c r="B37" s="101">
        <v>21297</v>
      </c>
      <c r="D37" s="352" t="s">
        <v>287</v>
      </c>
      <c r="E37" s="352"/>
      <c r="F37" s="352"/>
      <c r="G37" s="352"/>
      <c r="H37" s="352"/>
    </row>
    <row r="38" spans="1:12" ht="16" customHeight="1" x14ac:dyDescent="0.4">
      <c r="A38" s="51" t="s">
        <v>63</v>
      </c>
      <c r="B38" s="104">
        <v>0</v>
      </c>
      <c r="D38" s="352"/>
      <c r="E38" s="352"/>
      <c r="F38" s="352"/>
      <c r="G38" s="352"/>
      <c r="H38" s="352"/>
    </row>
    <row r="39" spans="1:12" s="44" customFormat="1" ht="16" customHeight="1" x14ac:dyDescent="0.4">
      <c r="A39" s="51" t="s">
        <v>148</v>
      </c>
      <c r="B39" s="104">
        <f>+BZA!D50+BZA!D51</f>
        <v>5800</v>
      </c>
      <c r="D39" s="352"/>
      <c r="E39" s="352"/>
      <c r="F39" s="352"/>
      <c r="G39" s="352"/>
      <c r="H39" s="352"/>
    </row>
    <row r="40" spans="1:12" s="44" customFormat="1" ht="16" customHeight="1" x14ac:dyDescent="0.4">
      <c r="A40" s="51" t="s">
        <v>64</v>
      </c>
      <c r="B40" s="104">
        <f>+BZA!I52</f>
        <v>3416.0058333333336</v>
      </c>
      <c r="D40" s="352"/>
      <c r="E40" s="352"/>
      <c r="F40" s="352"/>
      <c r="G40" s="352"/>
      <c r="H40" s="352"/>
    </row>
    <row r="41" spans="1:12" s="44" customFormat="1" ht="16" customHeight="1" x14ac:dyDescent="0.4">
      <c r="A41" s="51" t="s">
        <v>65</v>
      </c>
      <c r="B41" s="104">
        <f>+BZA!I53</f>
        <v>4527.25</v>
      </c>
      <c r="D41" s="352"/>
      <c r="E41" s="352"/>
      <c r="F41" s="352"/>
      <c r="G41" s="352"/>
      <c r="H41" s="352"/>
    </row>
    <row r="42" spans="1:12" s="44" customFormat="1" ht="16" customHeight="1" x14ac:dyDescent="0.4">
      <c r="A42" s="51" t="s">
        <v>66</v>
      </c>
      <c r="B42" s="104">
        <f>+BZA!I54</f>
        <v>1147.1250000000002</v>
      </c>
      <c r="D42" s="352"/>
      <c r="E42" s="352"/>
      <c r="F42" s="352"/>
      <c r="G42" s="352"/>
      <c r="H42" s="352"/>
    </row>
    <row r="43" spans="1:12" s="44" customFormat="1" ht="16" customHeight="1" x14ac:dyDescent="0.4">
      <c r="A43" s="52" t="s">
        <v>67</v>
      </c>
      <c r="B43" s="102">
        <f>SUM(B37:B42)</f>
        <v>36187.380833333329</v>
      </c>
      <c r="D43" s="352"/>
      <c r="E43" s="352"/>
      <c r="F43" s="352"/>
      <c r="G43" s="352"/>
      <c r="H43" s="352"/>
    </row>
    <row r="44" spans="1:12" s="28" customFormat="1" ht="16" customHeight="1" x14ac:dyDescent="0.4">
      <c r="A44" s="106" t="s">
        <v>68</v>
      </c>
      <c r="B44" s="107">
        <f>+B36-B43</f>
        <v>-10077.380833333329</v>
      </c>
      <c r="D44" s="352"/>
      <c r="E44" s="352"/>
      <c r="F44" s="352"/>
      <c r="G44" s="352"/>
      <c r="H44" s="352"/>
    </row>
    <row r="45" spans="1:12" s="28" customFormat="1" ht="16" customHeight="1" x14ac:dyDescent="0.4">
      <c r="A45" s="44"/>
      <c r="B45" s="44"/>
    </row>
    <row r="46" spans="1:12" s="44" customFormat="1" x14ac:dyDescent="0.4">
      <c r="A46"/>
      <c r="B46"/>
    </row>
  </sheetData>
  <mergeCells count="5">
    <mergeCell ref="A3:H3"/>
    <mergeCell ref="D29:H34"/>
    <mergeCell ref="D37:H44"/>
    <mergeCell ref="D14:H26"/>
    <mergeCell ref="D6:H12"/>
  </mergeCells>
  <phoneticPr fontId="0" type="noConversion"/>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180"/>
  <sheetViews>
    <sheetView topLeftCell="A31" zoomScale="120" zoomScaleNormal="120" workbookViewId="0">
      <selection activeCell="F16" sqref="F16"/>
    </sheetView>
  </sheetViews>
  <sheetFormatPr baseColWidth="10" defaultColWidth="11.3828125" defaultRowHeight="12.9" x14ac:dyDescent="0.35"/>
  <cols>
    <col min="1" max="1" width="23.84375" style="54" customWidth="1"/>
    <col min="2" max="2" width="7.3046875" style="54" customWidth="1"/>
    <col min="3" max="4" width="6.3046875" style="54" customWidth="1"/>
    <col min="5" max="8" width="6.84375" style="54" customWidth="1"/>
    <col min="9" max="9" width="7.84375" style="54" customWidth="1"/>
    <col min="10" max="15" width="11.3828125" style="54"/>
    <col min="16" max="16" width="12" style="54" bestFit="1" customWidth="1"/>
    <col min="17" max="16384" width="11.3828125" style="54"/>
  </cols>
  <sheetData>
    <row r="1" spans="1:17" ht="28.3" x14ac:dyDescent="0.75">
      <c r="A1" s="214" t="s">
        <v>210</v>
      </c>
    </row>
    <row r="3" spans="1:17" ht="42" customHeight="1" x14ac:dyDescent="0.35">
      <c r="A3" s="344" t="s">
        <v>267</v>
      </c>
      <c r="B3" s="345"/>
      <c r="C3" s="345"/>
      <c r="D3" s="345"/>
      <c r="E3" s="345"/>
      <c r="F3" s="345"/>
      <c r="G3" s="345"/>
      <c r="H3" s="345"/>
      <c r="I3" s="346"/>
    </row>
    <row r="4" spans="1:17" ht="6.75" customHeight="1" x14ac:dyDescent="0.35"/>
    <row r="5" spans="1:17" ht="68.25" customHeight="1" x14ac:dyDescent="0.35">
      <c r="A5" s="355" t="s">
        <v>268</v>
      </c>
      <c r="B5" s="356"/>
      <c r="C5" s="356"/>
      <c r="D5" s="356"/>
      <c r="E5" s="356"/>
      <c r="F5" s="356"/>
      <c r="G5" s="356"/>
      <c r="H5" s="356"/>
      <c r="I5" s="357"/>
    </row>
    <row r="7" spans="1:17" ht="15" customHeight="1" x14ac:dyDescent="0.35">
      <c r="A7" s="363" t="s">
        <v>33</v>
      </c>
      <c r="B7" s="358" t="s">
        <v>72</v>
      </c>
      <c r="C7" s="359"/>
      <c r="D7" s="360"/>
      <c r="E7" s="358" t="s">
        <v>75</v>
      </c>
      <c r="F7" s="359"/>
      <c r="G7" s="359"/>
      <c r="H7" s="360"/>
      <c r="I7" s="361" t="s">
        <v>76</v>
      </c>
    </row>
    <row r="8" spans="1:17" s="55" customFormat="1" ht="45.75" customHeight="1" x14ac:dyDescent="0.4">
      <c r="A8" s="364"/>
      <c r="B8" s="157" t="s">
        <v>69</v>
      </c>
      <c r="C8" s="158" t="s">
        <v>71</v>
      </c>
      <c r="D8" s="159" t="s">
        <v>70</v>
      </c>
      <c r="E8" s="157" t="s">
        <v>151</v>
      </c>
      <c r="F8" s="158" t="s">
        <v>77</v>
      </c>
      <c r="G8" s="158" t="s">
        <v>74</v>
      </c>
      <c r="H8" s="159" t="s">
        <v>78</v>
      </c>
      <c r="I8" s="362"/>
    </row>
    <row r="9" spans="1:17" x14ac:dyDescent="0.35">
      <c r="A9" s="160" t="s">
        <v>73</v>
      </c>
      <c r="B9" s="161"/>
      <c r="C9" s="162">
        <f>+ILV!F7+ILV!F8</f>
        <v>2220</v>
      </c>
      <c r="D9" s="163"/>
      <c r="E9" s="161">
        <f>+C9</f>
        <v>2220</v>
      </c>
      <c r="F9" s="162"/>
      <c r="G9" s="162"/>
      <c r="H9" s="163"/>
      <c r="I9" s="161">
        <f>+SUM(E9:H9)</f>
        <v>2220</v>
      </c>
      <c r="J9" s="54" t="s">
        <v>304</v>
      </c>
      <c r="P9" s="317">
        <v>39112</v>
      </c>
      <c r="Q9" s="315">
        <v>2220</v>
      </c>
    </row>
    <row r="10" spans="1:17" x14ac:dyDescent="0.35">
      <c r="A10" s="160" t="s">
        <v>84</v>
      </c>
      <c r="B10" s="161"/>
      <c r="C10" s="162">
        <f>+ILV!F11</f>
        <v>385</v>
      </c>
      <c r="D10" s="163"/>
      <c r="E10" s="161">
        <f>+C10</f>
        <v>385</v>
      </c>
      <c r="F10" s="162"/>
      <c r="G10" s="162"/>
      <c r="H10" s="163"/>
      <c r="I10" s="161">
        <f t="shared" ref="I10:I55" si="0">+SUM(E10:H10)</f>
        <v>385</v>
      </c>
      <c r="J10" s="54" t="s">
        <v>303</v>
      </c>
      <c r="P10" s="317">
        <v>2101</v>
      </c>
      <c r="Q10" s="315">
        <v>385</v>
      </c>
    </row>
    <row r="11" spans="1:17" x14ac:dyDescent="0.35">
      <c r="A11" s="160" t="s">
        <v>21</v>
      </c>
      <c r="B11" s="161">
        <f>+KA!B6</f>
        <v>39112</v>
      </c>
      <c r="C11" s="162"/>
      <c r="D11" s="163"/>
      <c r="E11" s="161"/>
      <c r="F11" s="162">
        <f>+B11</f>
        <v>39112</v>
      </c>
      <c r="G11" s="162"/>
      <c r="H11" s="163"/>
      <c r="I11" s="161">
        <f t="shared" si="0"/>
        <v>39112</v>
      </c>
      <c r="P11" s="317">
        <v>2912</v>
      </c>
      <c r="Q11" s="315">
        <v>39112</v>
      </c>
    </row>
    <row r="12" spans="1:17" x14ac:dyDescent="0.35">
      <c r="A12" s="160" t="s">
        <v>22</v>
      </c>
      <c r="B12" s="161">
        <f>+KA!B7</f>
        <v>2101</v>
      </c>
      <c r="C12" s="162"/>
      <c r="D12" s="163"/>
      <c r="E12" s="161"/>
      <c r="F12" s="162">
        <f>+B12</f>
        <v>2101</v>
      </c>
      <c r="G12" s="162"/>
      <c r="H12" s="163"/>
      <c r="I12" s="161">
        <f t="shared" si="0"/>
        <v>2101</v>
      </c>
      <c r="P12" s="317">
        <v>7450</v>
      </c>
      <c r="Q12" s="315">
        <v>2101</v>
      </c>
    </row>
    <row r="13" spans="1:17" x14ac:dyDescent="0.35">
      <c r="A13" s="160" t="s">
        <v>118</v>
      </c>
      <c r="B13" s="161"/>
      <c r="C13" s="162">
        <f>+ILV!F9</f>
        <v>3360</v>
      </c>
      <c r="D13" s="163"/>
      <c r="E13" s="161"/>
      <c r="F13" s="162">
        <f>+C13</f>
        <v>3360</v>
      </c>
      <c r="G13" s="162"/>
      <c r="H13" s="163"/>
      <c r="I13" s="161">
        <f t="shared" si="0"/>
        <v>3360</v>
      </c>
      <c r="J13" s="54" t="s">
        <v>302</v>
      </c>
      <c r="P13" s="317">
        <v>25000</v>
      </c>
      <c r="Q13" s="315">
        <v>3360</v>
      </c>
    </row>
    <row r="14" spans="1:17" x14ac:dyDescent="0.35">
      <c r="A14" s="160" t="s">
        <v>23</v>
      </c>
      <c r="B14" s="161">
        <f>+KA!B8</f>
        <v>2912</v>
      </c>
      <c r="C14" s="162"/>
      <c r="D14" s="163"/>
      <c r="E14" s="161"/>
      <c r="F14" s="162">
        <f>+B14</f>
        <v>2912</v>
      </c>
      <c r="G14" s="162"/>
      <c r="H14" s="163"/>
      <c r="I14" s="161">
        <f t="shared" si="0"/>
        <v>2912</v>
      </c>
      <c r="P14" s="317">
        <v>165</v>
      </c>
      <c r="Q14" s="315">
        <v>2912</v>
      </c>
    </row>
    <row r="15" spans="1:17" x14ac:dyDescent="0.35">
      <c r="A15" s="160" t="s">
        <v>24</v>
      </c>
      <c r="B15" s="161">
        <f>+KA!B9</f>
        <v>7450</v>
      </c>
      <c r="C15" s="162"/>
      <c r="D15" s="163"/>
      <c r="E15" s="161"/>
      <c r="F15" s="162"/>
      <c r="G15" s="162">
        <f>+B15</f>
        <v>7450</v>
      </c>
      <c r="H15" s="163"/>
      <c r="I15" s="161">
        <f t="shared" si="0"/>
        <v>7450</v>
      </c>
      <c r="P15" s="317">
        <v>-1550</v>
      </c>
      <c r="Q15" s="315">
        <v>7450</v>
      </c>
    </row>
    <row r="16" spans="1:17" x14ac:dyDescent="0.35">
      <c r="A16" s="160" t="s">
        <v>117</v>
      </c>
      <c r="B16" s="161"/>
      <c r="C16" s="162">
        <f>+ILV!E29</f>
        <v>2929.9500000000003</v>
      </c>
      <c r="D16" s="163"/>
      <c r="E16" s="161"/>
      <c r="F16" s="162">
        <f>+ILV!F21</f>
        <v>2396.7000000000003</v>
      </c>
      <c r="G16" s="162">
        <f>+ILV!F26</f>
        <v>533.25</v>
      </c>
      <c r="H16" s="163"/>
      <c r="I16" s="161">
        <f t="shared" si="0"/>
        <v>2929.9500000000003</v>
      </c>
      <c r="J16" s="54" t="s">
        <v>301</v>
      </c>
      <c r="P16" s="317">
        <v>75190</v>
      </c>
      <c r="Q16" s="315">
        <v>2929.9500000000003</v>
      </c>
    </row>
    <row r="17" spans="1:17" x14ac:dyDescent="0.35">
      <c r="A17" s="160" t="s">
        <v>25</v>
      </c>
      <c r="B17" s="161">
        <f>+KA!B10</f>
        <v>25000</v>
      </c>
      <c r="C17" s="162"/>
      <c r="D17" s="163"/>
      <c r="E17" s="161"/>
      <c r="F17" s="162"/>
      <c r="G17" s="162"/>
      <c r="H17" s="163">
        <f>+B17</f>
        <v>25000</v>
      </c>
      <c r="I17" s="161">
        <f t="shared" si="0"/>
        <v>25000</v>
      </c>
      <c r="P17" s="317">
        <v>456</v>
      </c>
      <c r="Q17" s="315">
        <v>25000</v>
      </c>
    </row>
    <row r="18" spans="1:17" x14ac:dyDescent="0.35">
      <c r="A18" s="160" t="s">
        <v>51</v>
      </c>
      <c r="B18" s="161">
        <f>+KA!B11</f>
        <v>165</v>
      </c>
      <c r="C18" s="162"/>
      <c r="D18" s="163"/>
      <c r="E18" s="161"/>
      <c r="F18" s="162">
        <f>+B18</f>
        <v>165</v>
      </c>
      <c r="G18" s="162"/>
      <c r="H18" s="163"/>
      <c r="I18" s="161">
        <f t="shared" si="0"/>
        <v>165</v>
      </c>
      <c r="P18" s="317">
        <v>815</v>
      </c>
      <c r="Q18" s="315">
        <v>165</v>
      </c>
    </row>
    <row r="19" spans="1:17" x14ac:dyDescent="0.35">
      <c r="A19" s="160" t="s">
        <v>50</v>
      </c>
      <c r="B19" s="161">
        <f>+KA!B12</f>
        <v>-1550</v>
      </c>
      <c r="C19" s="162"/>
      <c r="D19" s="163"/>
      <c r="E19" s="161"/>
      <c r="F19" s="162"/>
      <c r="G19" s="162">
        <f>+B19</f>
        <v>-1550</v>
      </c>
      <c r="H19" s="163"/>
      <c r="I19" s="161">
        <f t="shared" si="0"/>
        <v>-1550</v>
      </c>
      <c r="J19" s="54" t="s">
        <v>300</v>
      </c>
      <c r="P19" s="317">
        <v>368</v>
      </c>
      <c r="Q19" s="315">
        <v>-1550</v>
      </c>
    </row>
    <row r="20" spans="1:17" s="56" customFormat="1" x14ac:dyDescent="0.35">
      <c r="A20" s="164" t="s">
        <v>52</v>
      </c>
      <c r="B20" s="165">
        <f>+KA!B13</f>
        <v>75190</v>
      </c>
      <c r="C20" s="166">
        <f>SUM(C9:C19)</f>
        <v>8894.9500000000007</v>
      </c>
      <c r="D20" s="167"/>
      <c r="E20" s="165">
        <f>SUM(E9:E19)</f>
        <v>2605</v>
      </c>
      <c r="F20" s="166">
        <f>SUM(F9:F19)</f>
        <v>50046.7</v>
      </c>
      <c r="G20" s="166">
        <f>SUM(G9:G19)</f>
        <v>6433.25</v>
      </c>
      <c r="H20" s="167">
        <f>SUM(H9:H19)</f>
        <v>25000</v>
      </c>
      <c r="I20" s="165">
        <f>SUM(I9:I19)</f>
        <v>84084.95</v>
      </c>
      <c r="P20" s="318">
        <v>497</v>
      </c>
      <c r="Q20" s="316">
        <v>84084.95</v>
      </c>
    </row>
    <row r="21" spans="1:17" x14ac:dyDescent="0.35">
      <c r="A21" s="160" t="s">
        <v>38</v>
      </c>
      <c r="B21" s="161">
        <f>+KA!B14</f>
        <v>456</v>
      </c>
      <c r="C21" s="162"/>
      <c r="D21" s="163"/>
      <c r="E21" s="161">
        <v>96</v>
      </c>
      <c r="F21" s="162"/>
      <c r="G21" s="162">
        <v>360</v>
      </c>
      <c r="H21" s="163"/>
      <c r="I21" s="161">
        <f t="shared" si="0"/>
        <v>456</v>
      </c>
      <c r="J21" s="54" t="s">
        <v>288</v>
      </c>
      <c r="P21" s="317">
        <v>1250</v>
      </c>
      <c r="Q21" s="315">
        <v>456</v>
      </c>
    </row>
    <row r="22" spans="1:17" x14ac:dyDescent="0.35">
      <c r="A22" s="160" t="s">
        <v>54</v>
      </c>
      <c r="B22" s="161">
        <f>+KA!B16</f>
        <v>815</v>
      </c>
      <c r="C22" s="162"/>
      <c r="D22" s="163"/>
      <c r="E22" s="161">
        <f>+DÜNGER!B28</f>
        <v>57.100362192451513</v>
      </c>
      <c r="F22" s="162">
        <f>+DÜNGER!G28</f>
        <v>655.61410572734223</v>
      </c>
      <c r="G22" s="162">
        <f>+DÜNGER!H28</f>
        <v>102.28553208020631</v>
      </c>
      <c r="H22" s="163"/>
      <c r="I22" s="161">
        <f t="shared" si="0"/>
        <v>815</v>
      </c>
      <c r="J22" s="54" t="s">
        <v>299</v>
      </c>
      <c r="P22" s="317">
        <v>4550</v>
      </c>
      <c r="Q22" s="315">
        <v>815</v>
      </c>
    </row>
    <row r="23" spans="1:17" x14ac:dyDescent="0.35">
      <c r="A23" s="160" t="s">
        <v>117</v>
      </c>
      <c r="B23" s="161"/>
      <c r="C23" s="162">
        <f>+DÜNGER!B31</f>
        <v>2929.9500000000003</v>
      </c>
      <c r="D23" s="163"/>
      <c r="E23" s="161">
        <f>+DÜNGER!B29</f>
        <v>205.27755362671576</v>
      </c>
      <c r="F23" s="162">
        <f>+DÜNGER!G29</f>
        <v>2356.9528209519344</v>
      </c>
      <c r="G23" s="162">
        <f>+DÜNGER!H29</f>
        <v>367.71962542135026</v>
      </c>
      <c r="H23" s="163"/>
      <c r="I23" s="161">
        <f t="shared" si="0"/>
        <v>2929.9500000000007</v>
      </c>
      <c r="J23" s="54" t="s">
        <v>299</v>
      </c>
      <c r="P23" s="317">
        <v>795</v>
      </c>
      <c r="Q23" s="315">
        <v>2929.9500000000007</v>
      </c>
    </row>
    <row r="24" spans="1:17" x14ac:dyDescent="0.35">
      <c r="A24" s="160" t="s">
        <v>53</v>
      </c>
      <c r="B24" s="161">
        <f>+GuV!B24</f>
        <v>368</v>
      </c>
      <c r="C24" s="162"/>
      <c r="D24" s="163"/>
      <c r="E24" s="161">
        <v>138</v>
      </c>
      <c r="F24" s="162"/>
      <c r="G24" s="162">
        <v>230</v>
      </c>
      <c r="H24" s="163"/>
      <c r="I24" s="161">
        <f t="shared" si="0"/>
        <v>368</v>
      </c>
      <c r="J24" s="54" t="s">
        <v>288</v>
      </c>
      <c r="P24" s="317">
        <v>1200</v>
      </c>
      <c r="Q24" s="315">
        <v>367</v>
      </c>
    </row>
    <row r="25" spans="1:17" x14ac:dyDescent="0.35">
      <c r="A25" s="160" t="s">
        <v>55</v>
      </c>
      <c r="B25" s="161">
        <f>+KA!B17</f>
        <v>497</v>
      </c>
      <c r="C25" s="162"/>
      <c r="D25" s="163"/>
      <c r="E25" s="161">
        <f>+B25*SCHLÜSSEL!B6</f>
        <v>62.125</v>
      </c>
      <c r="F25" s="162">
        <f>+$B$25*SCHLÜSSEL!G6</f>
        <v>384.04545454545456</v>
      </c>
      <c r="G25" s="162">
        <f>+$B$25*SCHLÜSSEL!H6</f>
        <v>50.82954545454546</v>
      </c>
      <c r="H25" s="163"/>
      <c r="I25" s="161">
        <f t="shared" si="0"/>
        <v>497</v>
      </c>
      <c r="J25" s="54" t="s">
        <v>308</v>
      </c>
      <c r="P25" s="317">
        <v>1075</v>
      </c>
      <c r="Q25" s="315">
        <v>497</v>
      </c>
    </row>
    <row r="26" spans="1:17" x14ac:dyDescent="0.35">
      <c r="A26" s="160" t="s">
        <v>46</v>
      </c>
      <c r="B26" s="161">
        <f>+KA!B18</f>
        <v>1250</v>
      </c>
      <c r="C26" s="162"/>
      <c r="D26" s="163"/>
      <c r="E26" s="161"/>
      <c r="F26" s="162">
        <f>+B26</f>
        <v>1250</v>
      </c>
      <c r="G26" s="162"/>
      <c r="H26" s="163"/>
      <c r="I26" s="161">
        <f t="shared" si="0"/>
        <v>1250</v>
      </c>
      <c r="J26" s="54" t="s">
        <v>309</v>
      </c>
      <c r="P26" s="317">
        <v>600</v>
      </c>
      <c r="Q26" s="315">
        <v>1250</v>
      </c>
    </row>
    <row r="27" spans="1:17" x14ac:dyDescent="0.35">
      <c r="A27" s="160" t="s">
        <v>45</v>
      </c>
      <c r="B27" s="161">
        <f>+KA!B19</f>
        <v>4550</v>
      </c>
      <c r="C27" s="162"/>
      <c r="D27" s="163"/>
      <c r="E27" s="161"/>
      <c r="F27" s="162">
        <f>+B27</f>
        <v>4550</v>
      </c>
      <c r="G27" s="162"/>
      <c r="H27" s="163"/>
      <c r="I27" s="161">
        <f t="shared" si="0"/>
        <v>4550</v>
      </c>
      <c r="J27" s="54" t="s">
        <v>309</v>
      </c>
      <c r="P27" s="317">
        <v>1250</v>
      </c>
      <c r="Q27" s="315">
        <v>4550</v>
      </c>
    </row>
    <row r="28" spans="1:17" x14ac:dyDescent="0.35">
      <c r="A28" s="160" t="s">
        <v>49</v>
      </c>
      <c r="B28" s="161">
        <f>+KA!B20</f>
        <v>795</v>
      </c>
      <c r="C28" s="162"/>
      <c r="D28" s="163"/>
      <c r="E28" s="161"/>
      <c r="F28" s="162">
        <f>+B28</f>
        <v>795</v>
      </c>
      <c r="G28" s="162"/>
      <c r="H28" s="163"/>
      <c r="I28" s="161">
        <f t="shared" si="0"/>
        <v>795</v>
      </c>
      <c r="J28" s="54" t="s">
        <v>309</v>
      </c>
      <c r="P28" s="317">
        <v>580</v>
      </c>
      <c r="Q28" s="315">
        <v>795</v>
      </c>
    </row>
    <row r="29" spans="1:17" x14ac:dyDescent="0.35">
      <c r="A29" s="160" t="s">
        <v>368</v>
      </c>
      <c r="B29" s="161">
        <f>+KA!B21</f>
        <v>1200</v>
      </c>
      <c r="C29" s="162"/>
      <c r="D29" s="163"/>
      <c r="E29" s="161"/>
      <c r="F29" s="162"/>
      <c r="G29" s="162">
        <f>+B29</f>
        <v>1200</v>
      </c>
      <c r="H29" s="163"/>
      <c r="I29" s="161">
        <f t="shared" si="0"/>
        <v>1200</v>
      </c>
      <c r="J29" s="54" t="s">
        <v>310</v>
      </c>
      <c r="P29" s="317">
        <v>7520</v>
      </c>
      <c r="Q29" s="315">
        <v>1200</v>
      </c>
    </row>
    <row r="30" spans="1:17" x14ac:dyDescent="0.35">
      <c r="A30" s="160" t="s">
        <v>47</v>
      </c>
      <c r="B30" s="161">
        <f>+KA!B22</f>
        <v>1075</v>
      </c>
      <c r="C30" s="162"/>
      <c r="D30" s="163"/>
      <c r="E30" s="161"/>
      <c r="F30" s="162">
        <f>+B30*SCHLÜSSEL!G8</f>
        <v>816.37681159420299</v>
      </c>
      <c r="G30" s="162">
        <f>+B30*SCHLÜSSEL!H8</f>
        <v>258.62318840579712</v>
      </c>
      <c r="H30" s="163"/>
      <c r="I30" s="161">
        <f t="shared" si="0"/>
        <v>1075</v>
      </c>
      <c r="J30" s="54" t="s">
        <v>311</v>
      </c>
      <c r="P30" s="317">
        <v>20956</v>
      </c>
      <c r="Q30" s="315">
        <v>1075</v>
      </c>
    </row>
    <row r="31" spans="1:17" x14ac:dyDescent="0.35">
      <c r="A31" s="160" t="s">
        <v>48</v>
      </c>
      <c r="B31" s="161">
        <f>+KA!B23</f>
        <v>600</v>
      </c>
      <c r="C31" s="162"/>
      <c r="D31" s="163"/>
      <c r="E31" s="161"/>
      <c r="F31" s="162">
        <f>+B31</f>
        <v>600</v>
      </c>
      <c r="G31" s="162"/>
      <c r="H31" s="163"/>
      <c r="I31" s="161">
        <f t="shared" si="0"/>
        <v>600</v>
      </c>
      <c r="J31" s="54" t="s">
        <v>309</v>
      </c>
      <c r="P31" s="317">
        <v>54234</v>
      </c>
      <c r="Q31" s="315">
        <v>600</v>
      </c>
    </row>
    <row r="32" spans="1:17" x14ac:dyDescent="0.35">
      <c r="A32" s="160" t="s">
        <v>170</v>
      </c>
      <c r="B32" s="161">
        <f>+KA!B24</f>
        <v>1250</v>
      </c>
      <c r="C32" s="162"/>
      <c r="D32" s="163"/>
      <c r="E32" s="161"/>
      <c r="F32" s="162">
        <f>+B32</f>
        <v>1250</v>
      </c>
      <c r="G32" s="162"/>
      <c r="H32" s="163"/>
      <c r="I32" s="161">
        <f t="shared" si="0"/>
        <v>1250</v>
      </c>
      <c r="J32" s="54" t="s">
        <v>309</v>
      </c>
      <c r="Q32" s="315">
        <v>1250</v>
      </c>
    </row>
    <row r="33" spans="1:17" x14ac:dyDescent="0.35">
      <c r="A33" s="160" t="str">
        <f>+A9</f>
        <v>Getreide</v>
      </c>
      <c r="B33" s="161"/>
      <c r="C33" s="162">
        <f>+C9</f>
        <v>2220</v>
      </c>
      <c r="D33" s="163"/>
      <c r="E33" s="161"/>
      <c r="F33" s="162">
        <f>+C33</f>
        <v>2220</v>
      </c>
      <c r="G33" s="162"/>
      <c r="H33" s="163"/>
      <c r="I33" s="161">
        <f t="shared" si="0"/>
        <v>2220</v>
      </c>
      <c r="J33" s="54" t="s">
        <v>309</v>
      </c>
      <c r="Q33" s="315">
        <v>2220</v>
      </c>
    </row>
    <row r="34" spans="1:17" x14ac:dyDescent="0.35">
      <c r="A34" s="160" t="str">
        <f>+A10</f>
        <v>Stroh</v>
      </c>
      <c r="B34" s="161"/>
      <c r="C34" s="162">
        <f>+C10</f>
        <v>385</v>
      </c>
      <c r="D34" s="163"/>
      <c r="E34" s="161"/>
      <c r="F34" s="162">
        <f>+C34</f>
        <v>385</v>
      </c>
      <c r="G34" s="162"/>
      <c r="H34" s="163"/>
      <c r="I34" s="161">
        <f t="shared" si="0"/>
        <v>385</v>
      </c>
      <c r="J34" s="54" t="s">
        <v>309</v>
      </c>
      <c r="Q34" s="315">
        <v>385</v>
      </c>
    </row>
    <row r="35" spans="1:17" x14ac:dyDescent="0.35">
      <c r="A35" s="160" t="str">
        <f>+A13</f>
        <v>Kälber Überstellung</v>
      </c>
      <c r="B35" s="161"/>
      <c r="C35" s="162">
        <f>+C13</f>
        <v>3360</v>
      </c>
      <c r="D35" s="163"/>
      <c r="E35" s="161"/>
      <c r="F35" s="162"/>
      <c r="G35" s="162">
        <f>+C35</f>
        <v>3360</v>
      </c>
      <c r="H35" s="163"/>
      <c r="I35" s="161">
        <f t="shared" si="0"/>
        <v>3360</v>
      </c>
      <c r="J35" s="54" t="s">
        <v>302</v>
      </c>
      <c r="Q35" s="315">
        <v>3360</v>
      </c>
    </row>
    <row r="36" spans="1:17" x14ac:dyDescent="0.35">
      <c r="A36" s="160" t="s">
        <v>119</v>
      </c>
      <c r="B36" s="161">
        <f>+KA!B25</f>
        <v>580</v>
      </c>
      <c r="C36" s="162"/>
      <c r="D36" s="163"/>
      <c r="E36" s="161"/>
      <c r="F36" s="162">
        <f>+B36*SCHLÜSSEL!G8</f>
        <v>440.46376811594212</v>
      </c>
      <c r="G36" s="162">
        <f>+B36*SCHLÜSSEL!H8</f>
        <v>139.53623188405797</v>
      </c>
      <c r="H36" s="163"/>
      <c r="I36" s="161">
        <f t="shared" si="0"/>
        <v>580.00000000000011</v>
      </c>
      <c r="J36" s="54" t="s">
        <v>311</v>
      </c>
      <c r="Q36" s="315">
        <v>580</v>
      </c>
    </row>
    <row r="37" spans="1:17" x14ac:dyDescent="0.35">
      <c r="A37" s="160" t="s">
        <v>149</v>
      </c>
      <c r="B37" s="161">
        <f>+KA!B26</f>
        <v>7520</v>
      </c>
      <c r="C37" s="162"/>
      <c r="D37" s="163"/>
      <c r="E37" s="161"/>
      <c r="F37" s="162"/>
      <c r="G37" s="162"/>
      <c r="H37" s="163">
        <f>+B37</f>
        <v>7520</v>
      </c>
      <c r="I37" s="161">
        <f t="shared" si="0"/>
        <v>7520</v>
      </c>
      <c r="J37" s="54" t="s">
        <v>312</v>
      </c>
      <c r="Q37" s="315">
        <v>7520</v>
      </c>
    </row>
    <row r="38" spans="1:17" s="56" customFormat="1" x14ac:dyDescent="0.35">
      <c r="A38" s="168" t="s">
        <v>57</v>
      </c>
      <c r="B38" s="165">
        <f>+KA!B27</f>
        <v>20956</v>
      </c>
      <c r="C38" s="166">
        <f>SUM(C21:C37)</f>
        <v>8894.9500000000007</v>
      </c>
      <c r="D38" s="167"/>
      <c r="E38" s="165">
        <f>SUM(E21:E37)</f>
        <v>558.50291581916724</v>
      </c>
      <c r="F38" s="166">
        <f>SUM(F21:F37)</f>
        <v>15703.452960934877</v>
      </c>
      <c r="G38" s="166">
        <f>SUM(G21:G37)</f>
        <v>6068.9941232459569</v>
      </c>
      <c r="H38" s="167">
        <f>SUM(H21:H37)</f>
        <v>7520</v>
      </c>
      <c r="I38" s="165">
        <f>SUM(I21:I37)</f>
        <v>29850.95</v>
      </c>
      <c r="Q38" s="316">
        <v>29849.95</v>
      </c>
    </row>
    <row r="39" spans="1:17" s="56" customFormat="1" x14ac:dyDescent="0.35">
      <c r="A39" s="169" t="s">
        <v>58</v>
      </c>
      <c r="B39" s="170"/>
      <c r="C39" s="171"/>
      <c r="D39" s="172"/>
      <c r="E39" s="170">
        <f>+E20-E38</f>
        <v>2046.4970841808326</v>
      </c>
      <c r="F39" s="171">
        <f>+F20-F38</f>
        <v>34343.247039065121</v>
      </c>
      <c r="G39" s="171">
        <f>+G20-G38</f>
        <v>364.25587675404313</v>
      </c>
      <c r="H39" s="172">
        <f>+H20-H38</f>
        <v>17480</v>
      </c>
      <c r="I39" s="170">
        <f>+I20-I38</f>
        <v>54234</v>
      </c>
      <c r="Q39" s="316">
        <v>54235</v>
      </c>
    </row>
    <row r="40" spans="1:17" x14ac:dyDescent="0.35">
      <c r="A40" s="160" t="s">
        <v>56</v>
      </c>
      <c r="B40" s="161">
        <f>+KA!B29</f>
        <v>2364</v>
      </c>
      <c r="C40" s="162"/>
      <c r="D40" s="163"/>
      <c r="E40" s="173">
        <f>+B40*DIESEL!F7/100</f>
        <v>382.41176470588243</v>
      </c>
      <c r="F40" s="174">
        <f>+B40*DIESEL!F10/100</f>
        <v>1668.7058823529412</v>
      </c>
      <c r="G40" s="174">
        <f>+B40*DIESEL!F9/100</f>
        <v>312.88235294117652</v>
      </c>
      <c r="H40" s="175"/>
      <c r="I40" s="161">
        <f t="shared" si="0"/>
        <v>2364</v>
      </c>
      <c r="J40" s="54" t="s">
        <v>315</v>
      </c>
    </row>
    <row r="41" spans="1:17" x14ac:dyDescent="0.35">
      <c r="A41" s="160" t="s">
        <v>29</v>
      </c>
      <c r="B41" s="161">
        <f>+KA!B30</f>
        <v>6800</v>
      </c>
      <c r="C41" s="162"/>
      <c r="D41" s="163"/>
      <c r="E41" s="161">
        <f>+ANLAGEN!M36</f>
        <v>1019.1197478991598</v>
      </c>
      <c r="F41" s="162">
        <f>+ANLAGEN!N36</f>
        <v>4892.1217626381194</v>
      </c>
      <c r="G41" s="162">
        <f>+ANLAGEN!O36</f>
        <v>888.42515612938746</v>
      </c>
      <c r="H41" s="163"/>
      <c r="I41" s="161">
        <f t="shared" si="0"/>
        <v>6799.666666666667</v>
      </c>
      <c r="J41" s="54" t="s">
        <v>345</v>
      </c>
    </row>
    <row r="42" spans="1:17" x14ac:dyDescent="0.35">
      <c r="A42" s="160" t="s">
        <v>27</v>
      </c>
      <c r="B42" s="161">
        <f>+KA!B31</f>
        <v>1480</v>
      </c>
      <c r="C42" s="162"/>
      <c r="D42" s="163"/>
      <c r="E42" s="161"/>
      <c r="F42" s="162">
        <f>+B42*0.75</f>
        <v>1110</v>
      </c>
      <c r="G42" s="162">
        <f>+B42*0.1</f>
        <v>148</v>
      </c>
      <c r="H42" s="163">
        <f>+B42*0.15</f>
        <v>222</v>
      </c>
      <c r="I42" s="161">
        <f t="shared" si="0"/>
        <v>1480</v>
      </c>
      <c r="J42" s="54" t="s">
        <v>351</v>
      </c>
    </row>
    <row r="43" spans="1:17" x14ac:dyDescent="0.35">
      <c r="A43" s="160" t="s">
        <v>28</v>
      </c>
      <c r="B43" s="161">
        <f>+KA!B32</f>
        <v>11300</v>
      </c>
      <c r="C43" s="162"/>
      <c r="D43" s="163"/>
      <c r="E43" s="161">
        <f>+ANLAGEN!M15</f>
        <v>99.754901960784323</v>
      </c>
      <c r="F43" s="162">
        <f>+ANLAGEN!N15</f>
        <v>5798.1001604864905</v>
      </c>
      <c r="G43" s="162">
        <f>+ANLAGEN!O15</f>
        <v>2968.8116042193924</v>
      </c>
      <c r="H43" s="163">
        <f>+ANLAGEN!P15</f>
        <v>2433.3333333333335</v>
      </c>
      <c r="I43" s="161">
        <f t="shared" si="0"/>
        <v>11300.000000000002</v>
      </c>
      <c r="J43" s="54" t="s">
        <v>345</v>
      </c>
    </row>
    <row r="44" spans="1:17" x14ac:dyDescent="0.35">
      <c r="A44" s="160" t="s">
        <v>150</v>
      </c>
      <c r="B44" s="161">
        <f>+KA!B33</f>
        <v>6180</v>
      </c>
      <c r="C44" s="162"/>
      <c r="D44" s="163"/>
      <c r="E44" s="176">
        <f>+B44*SCHLÜSSEL!B14</f>
        <v>233.19968986682795</v>
      </c>
      <c r="F44" s="177">
        <f>+$B$44*SCHLÜSSEL!G14</f>
        <v>3913.4356068411412</v>
      </c>
      <c r="G44" s="177">
        <f>+$B$44*SCHLÜSSEL!H14</f>
        <v>41.50719693070743</v>
      </c>
      <c r="H44" s="177">
        <f>+$B$44*SCHLÜSSEL!I14</f>
        <v>1991.8575063613232</v>
      </c>
      <c r="I44" s="161">
        <f t="shared" si="0"/>
        <v>6180</v>
      </c>
      <c r="J44" s="54" t="s">
        <v>352</v>
      </c>
    </row>
    <row r="45" spans="1:17" s="56" customFormat="1" x14ac:dyDescent="0.35">
      <c r="A45" s="168" t="s">
        <v>59</v>
      </c>
      <c r="B45" s="178">
        <f>+KA!B34</f>
        <v>28124</v>
      </c>
      <c r="C45" s="166"/>
      <c r="D45" s="167"/>
      <c r="E45" s="165">
        <f>SUM(E40:E44)</f>
        <v>1734.4861044326544</v>
      </c>
      <c r="F45" s="166">
        <f>SUM(F40:F44)</f>
        <v>17382.363412318693</v>
      </c>
      <c r="G45" s="166">
        <f>SUM(G40:G44)</f>
        <v>4359.626310220664</v>
      </c>
      <c r="H45" s="166">
        <f>SUM(H40:H44)</f>
        <v>4647.1908396946565</v>
      </c>
      <c r="I45" s="165">
        <f t="shared" si="0"/>
        <v>28123.666666666668</v>
      </c>
    </row>
    <row r="46" spans="1:17" s="58" customFormat="1" x14ac:dyDescent="0.35">
      <c r="A46" s="168" t="s">
        <v>62</v>
      </c>
      <c r="B46" s="178">
        <f>+KA!B35</f>
        <v>0</v>
      </c>
      <c r="C46" s="166"/>
      <c r="D46" s="167"/>
      <c r="E46" s="165">
        <v>0</v>
      </c>
      <c r="F46" s="166">
        <v>0</v>
      </c>
      <c r="G46" s="166">
        <v>0</v>
      </c>
      <c r="H46" s="167">
        <v>0</v>
      </c>
      <c r="I46" s="165">
        <v>0</v>
      </c>
      <c r="J46" s="57"/>
      <c r="K46" s="57"/>
      <c r="L46" s="57"/>
      <c r="M46" s="57"/>
    </row>
    <row r="47" spans="1:17" s="56" customFormat="1" x14ac:dyDescent="0.35">
      <c r="A47" s="179" t="s">
        <v>60</v>
      </c>
      <c r="B47" s="180">
        <f>+KA!B36</f>
        <v>26110</v>
      </c>
      <c r="C47" s="181"/>
      <c r="D47" s="182"/>
      <c r="E47" s="183">
        <f>+E39-E45+E46</f>
        <v>312.01097974817822</v>
      </c>
      <c r="F47" s="181">
        <f>+F39-F45+F46</f>
        <v>16960.883626746428</v>
      </c>
      <c r="G47" s="181">
        <f>+G39-G45+G46</f>
        <v>-3995.3704334666209</v>
      </c>
      <c r="H47" s="182">
        <f>+H39-H45+H46</f>
        <v>12832.809160305344</v>
      </c>
      <c r="I47" s="183">
        <f t="shared" si="0"/>
        <v>26110.333333333328</v>
      </c>
    </row>
    <row r="48" spans="1:17" x14ac:dyDescent="0.35">
      <c r="A48" s="160" t="s">
        <v>61</v>
      </c>
      <c r="B48" s="161"/>
      <c r="C48" s="162"/>
      <c r="D48" s="163">
        <v>21297</v>
      </c>
      <c r="E48" s="173">
        <f>+D48*SCHLÜSSEL!B16</f>
        <v>359.61163227016885</v>
      </c>
      <c r="F48" s="174">
        <f>+$D$48*SCHLÜSSEL!G16</f>
        <v>9989.2120075046914</v>
      </c>
      <c r="G48" s="174">
        <f>+$D$48*SCHLÜSSEL!H16</f>
        <v>1997.842401500938</v>
      </c>
      <c r="H48" s="174">
        <f>+$D$48*SCHLÜSSEL!I16</f>
        <v>8950.3339587242026</v>
      </c>
      <c r="I48" s="161">
        <f t="shared" si="0"/>
        <v>21297</v>
      </c>
      <c r="J48" s="54" t="s">
        <v>355</v>
      </c>
    </row>
    <row r="49" spans="1:10" x14ac:dyDescent="0.35">
      <c r="A49" s="184" t="s">
        <v>63</v>
      </c>
      <c r="B49" s="161">
        <f>+KA!B38</f>
        <v>0</v>
      </c>
      <c r="C49" s="162"/>
      <c r="D49" s="163"/>
      <c r="E49" s="161"/>
      <c r="F49" s="162"/>
      <c r="G49" s="162"/>
      <c r="H49" s="163"/>
      <c r="I49" s="161">
        <f t="shared" si="0"/>
        <v>0</v>
      </c>
    </row>
    <row r="50" spans="1:10" x14ac:dyDescent="0.35">
      <c r="A50" s="184" t="s">
        <v>356</v>
      </c>
      <c r="B50" s="161"/>
      <c r="C50" s="162"/>
      <c r="D50" s="163">
        <f>+BETRIEB!C7*BETRIEB!B7</f>
        <v>2800</v>
      </c>
      <c r="E50" s="161">
        <f>+D50*SCHLÜSSEL!B10</f>
        <v>1100</v>
      </c>
      <c r="F50" s="162">
        <f>+D50*SCHLÜSSEL!G10</f>
        <v>800</v>
      </c>
      <c r="G50" s="162">
        <f>+D50*SCHLÜSSEL!H10</f>
        <v>900.00000000000011</v>
      </c>
      <c r="H50" s="163"/>
      <c r="I50" s="161">
        <f t="shared" si="0"/>
        <v>2800</v>
      </c>
      <c r="J50" s="54" t="s">
        <v>361</v>
      </c>
    </row>
    <row r="51" spans="1:10" x14ac:dyDescent="0.35">
      <c r="A51" s="184" t="s">
        <v>357</v>
      </c>
      <c r="B51" s="161"/>
      <c r="C51" s="162"/>
      <c r="D51" s="163">
        <f>+BETRIEB!C12*BETRIEB!B12</f>
        <v>3000</v>
      </c>
      <c r="E51" s="161"/>
      <c r="F51" s="162">
        <f>+D51*SCHLÜSSEL!G12</f>
        <v>3000</v>
      </c>
      <c r="G51" s="162"/>
      <c r="H51" s="163"/>
      <c r="I51" s="161">
        <f t="shared" si="0"/>
        <v>3000</v>
      </c>
      <c r="J51" s="54" t="s">
        <v>362</v>
      </c>
    </row>
    <row r="52" spans="1:10" x14ac:dyDescent="0.35">
      <c r="A52" s="184" t="s">
        <v>64</v>
      </c>
      <c r="B52" s="161"/>
      <c r="C52" s="162"/>
      <c r="D52" s="163">
        <f>+ANLAGEN!G39</f>
        <v>3416.0058333333332</v>
      </c>
      <c r="E52" s="161">
        <f>+$D$52*ANLAGEN!Q38</f>
        <v>607.82790441176485</v>
      </c>
      <c r="F52" s="162">
        <f>+$D$52*ANLAGEN!R38</f>
        <v>2279.3327421659383</v>
      </c>
      <c r="G52" s="162">
        <f>+$D$52*ANLAGEN!S38</f>
        <v>528.84518675563038</v>
      </c>
      <c r="H52" s="163"/>
      <c r="I52" s="161">
        <f t="shared" si="0"/>
        <v>3416.0058333333336</v>
      </c>
      <c r="J52" s="54" t="s">
        <v>345</v>
      </c>
    </row>
    <row r="53" spans="1:10" x14ac:dyDescent="0.35">
      <c r="A53" s="184" t="s">
        <v>65</v>
      </c>
      <c r="B53" s="161"/>
      <c r="C53" s="162"/>
      <c r="D53" s="163">
        <f>+ANLAGEN!G18</f>
        <v>4527.25</v>
      </c>
      <c r="E53" s="161">
        <f>+$D$53*ANLAGEN!Q38</f>
        <v>805.55743008289039</v>
      </c>
      <c r="F53" s="162">
        <f>+$D$53*ANLAGEN!R38</f>
        <v>3020.8113394529464</v>
      </c>
      <c r="G53" s="162">
        <f>+$D$53*ANLAGEN!S38</f>
        <v>700.88123046416376</v>
      </c>
      <c r="H53" s="163">
        <f>+$D$53*ANLAGEN!T38</f>
        <v>0</v>
      </c>
      <c r="I53" s="161">
        <f t="shared" si="0"/>
        <v>4527.25</v>
      </c>
      <c r="J53" s="54" t="s">
        <v>345</v>
      </c>
    </row>
    <row r="54" spans="1:10" x14ac:dyDescent="0.35">
      <c r="A54" s="184" t="s">
        <v>66</v>
      </c>
      <c r="B54" s="161"/>
      <c r="C54" s="162"/>
      <c r="D54" s="163">
        <f>(+TIERE!E18+TIERE!E19)*0.035</f>
        <v>1147.125</v>
      </c>
      <c r="E54" s="161"/>
      <c r="F54" s="162">
        <f>+TIERE!E18*0.035</f>
        <v>796.25000000000011</v>
      </c>
      <c r="G54" s="162">
        <f>+TIERE!E19*0.035</f>
        <v>350.87500000000006</v>
      </c>
      <c r="H54" s="163"/>
      <c r="I54" s="161">
        <f t="shared" si="0"/>
        <v>1147.1250000000002</v>
      </c>
      <c r="J54" s="54" t="s">
        <v>367</v>
      </c>
    </row>
    <row r="55" spans="1:10" s="56" customFormat="1" x14ac:dyDescent="0.35">
      <c r="A55" s="168" t="s">
        <v>67</v>
      </c>
      <c r="B55" s="165">
        <f>SUM(B48:B54)</f>
        <v>0</v>
      </c>
      <c r="C55" s="166"/>
      <c r="D55" s="167">
        <f>SUM(D48:D54)</f>
        <v>36187.380833333329</v>
      </c>
      <c r="E55" s="165">
        <f>SUM(E48:E54)</f>
        <v>2872.9969667648238</v>
      </c>
      <c r="F55" s="166">
        <f>SUM(F48:F54)</f>
        <v>19885.606089123576</v>
      </c>
      <c r="G55" s="166">
        <f>SUM(G48:G54)</f>
        <v>4478.4438187207325</v>
      </c>
      <c r="H55" s="167">
        <f>SUM(H48:H54)</f>
        <v>8950.3339587242026</v>
      </c>
      <c r="I55" s="165">
        <f t="shared" si="0"/>
        <v>36187.380833333336</v>
      </c>
    </row>
    <row r="56" spans="1:10" s="56" customFormat="1" x14ac:dyDescent="0.35">
      <c r="A56" s="185" t="s">
        <v>153</v>
      </c>
      <c r="B56" s="186"/>
      <c r="C56" s="187"/>
      <c r="D56" s="188"/>
      <c r="E56" s="186">
        <f>+E47-E55</f>
        <v>-2560.9859870166456</v>
      </c>
      <c r="F56" s="187">
        <f>+F47-F55</f>
        <v>-2924.7224623771472</v>
      </c>
      <c r="G56" s="187">
        <f>+G47-G55</f>
        <v>-8473.8142521873524</v>
      </c>
      <c r="H56" s="188">
        <f>+H47-H55</f>
        <v>3882.4752015811409</v>
      </c>
      <c r="I56" s="186">
        <f>+I47-I55</f>
        <v>-10077.047500000008</v>
      </c>
    </row>
    <row r="57" spans="1:10" x14ac:dyDescent="0.35">
      <c r="B57" s="99"/>
      <c r="C57" s="99"/>
      <c r="D57" s="99"/>
      <c r="E57" s="99"/>
      <c r="F57" s="99"/>
      <c r="G57" s="99"/>
      <c r="H57" s="99"/>
      <c r="I57" s="99"/>
    </row>
    <row r="58" spans="1:10" ht="15.9" x14ac:dyDescent="0.35">
      <c r="A58" s="239"/>
      <c r="B58" s="99"/>
      <c r="C58" s="99"/>
      <c r="D58" s="99"/>
      <c r="E58" s="99"/>
      <c r="F58" s="99"/>
      <c r="G58" s="99"/>
      <c r="H58" s="99"/>
      <c r="I58" s="99"/>
    </row>
    <row r="59" spans="1:10" ht="101.25" customHeight="1" x14ac:dyDescent="0.35">
      <c r="A59" s="344" t="s">
        <v>269</v>
      </c>
      <c r="B59" s="345"/>
      <c r="C59" s="345"/>
      <c r="D59" s="345"/>
      <c r="E59" s="345"/>
      <c r="F59" s="345"/>
      <c r="G59" s="345"/>
      <c r="H59" s="345"/>
      <c r="I59" s="346"/>
    </row>
    <row r="60" spans="1:10" x14ac:dyDescent="0.35">
      <c r="B60" s="99"/>
      <c r="C60" s="99"/>
      <c r="D60" s="99"/>
      <c r="E60" s="99"/>
      <c r="F60" s="99"/>
      <c r="G60" s="99"/>
      <c r="H60" s="99"/>
      <c r="I60" s="99"/>
    </row>
    <row r="61" spans="1:10" ht="84" customHeight="1" x14ac:dyDescent="0.35">
      <c r="A61" s="344" t="s">
        <v>270</v>
      </c>
      <c r="B61" s="345"/>
      <c r="C61" s="345"/>
      <c r="D61" s="345"/>
      <c r="E61" s="345"/>
      <c r="F61" s="345"/>
      <c r="G61" s="345"/>
      <c r="H61" s="345"/>
      <c r="I61" s="346"/>
    </row>
    <row r="62" spans="1:10" x14ac:dyDescent="0.35">
      <c r="B62" s="99"/>
      <c r="C62" s="99"/>
      <c r="D62" s="99"/>
      <c r="E62" s="99"/>
      <c r="F62" s="99"/>
      <c r="G62" s="99"/>
      <c r="H62" s="99"/>
      <c r="I62" s="99"/>
    </row>
    <row r="63" spans="1:10" ht="73.5" customHeight="1" x14ac:dyDescent="0.35">
      <c r="A63" s="344" t="s">
        <v>271</v>
      </c>
      <c r="B63" s="345"/>
      <c r="C63" s="345"/>
      <c r="D63" s="345"/>
      <c r="E63" s="345"/>
      <c r="F63" s="345"/>
      <c r="G63" s="345"/>
      <c r="H63" s="345"/>
      <c r="I63" s="346"/>
    </row>
    <row r="64" spans="1:10" x14ac:dyDescent="0.35">
      <c r="B64" s="99"/>
      <c r="C64" s="99"/>
      <c r="D64" s="99"/>
      <c r="E64" s="99"/>
      <c r="F64" s="99"/>
      <c r="G64" s="99"/>
      <c r="H64" s="99"/>
      <c r="I64" s="99"/>
    </row>
    <row r="65" spans="2:9" x14ac:dyDescent="0.35">
      <c r="B65" s="99"/>
      <c r="C65" s="99"/>
      <c r="D65" s="99"/>
      <c r="E65" s="99"/>
      <c r="F65" s="99"/>
      <c r="G65" s="99"/>
      <c r="H65" s="99"/>
      <c r="I65" s="99"/>
    </row>
    <row r="66" spans="2:9" x14ac:dyDescent="0.35">
      <c r="B66" s="99"/>
      <c r="C66" s="99"/>
      <c r="D66" s="99"/>
      <c r="E66" s="99"/>
      <c r="F66" s="99"/>
      <c r="G66" s="99"/>
      <c r="H66" s="99"/>
      <c r="I66" s="99"/>
    </row>
    <row r="67" spans="2:9" x14ac:dyDescent="0.35">
      <c r="B67" s="99"/>
      <c r="C67" s="99"/>
      <c r="D67" s="99"/>
      <c r="E67" s="99"/>
      <c r="F67" s="99"/>
      <c r="G67" s="99"/>
      <c r="H67" s="99"/>
      <c r="I67" s="99"/>
    </row>
    <row r="68" spans="2:9" x14ac:dyDescent="0.35">
      <c r="B68" s="99"/>
      <c r="C68" s="99"/>
      <c r="D68" s="99"/>
      <c r="E68" s="99"/>
      <c r="F68" s="99"/>
      <c r="G68" s="99"/>
      <c r="H68" s="99"/>
      <c r="I68" s="99"/>
    </row>
    <row r="69" spans="2:9" x14ac:dyDescent="0.35">
      <c r="B69" s="99"/>
      <c r="C69" s="99"/>
      <c r="D69" s="99"/>
      <c r="E69" s="99"/>
      <c r="F69" s="99"/>
      <c r="G69" s="99"/>
      <c r="H69" s="99"/>
      <c r="I69" s="99"/>
    </row>
    <row r="70" spans="2:9" x14ac:dyDescent="0.35">
      <c r="B70" s="99"/>
      <c r="C70" s="99"/>
      <c r="D70" s="99"/>
      <c r="E70" s="99"/>
      <c r="F70" s="99"/>
      <c r="G70" s="99"/>
      <c r="H70" s="99"/>
      <c r="I70" s="99"/>
    </row>
    <row r="71" spans="2:9" x14ac:dyDescent="0.35">
      <c r="B71" s="99"/>
      <c r="C71" s="99"/>
      <c r="D71" s="99"/>
      <c r="E71" s="99"/>
      <c r="F71" s="99"/>
      <c r="G71" s="99"/>
      <c r="H71" s="99"/>
      <c r="I71" s="99"/>
    </row>
    <row r="72" spans="2:9" x14ac:dyDescent="0.35">
      <c r="B72" s="99"/>
      <c r="C72" s="99"/>
      <c r="D72" s="99"/>
      <c r="E72" s="99"/>
      <c r="F72" s="99"/>
      <c r="G72" s="99"/>
      <c r="H72" s="99"/>
      <c r="I72" s="99"/>
    </row>
    <row r="73" spans="2:9" x14ac:dyDescent="0.35">
      <c r="B73" s="99"/>
      <c r="C73" s="99"/>
      <c r="D73" s="99"/>
      <c r="E73" s="99"/>
      <c r="F73" s="99"/>
      <c r="G73" s="99"/>
      <c r="H73" s="99"/>
      <c r="I73" s="99"/>
    </row>
    <row r="74" spans="2:9" x14ac:dyDescent="0.35">
      <c r="B74" s="99"/>
      <c r="C74" s="99"/>
      <c r="D74" s="99"/>
      <c r="E74" s="99"/>
      <c r="F74" s="99"/>
      <c r="G74" s="99"/>
      <c r="H74" s="99"/>
      <c r="I74" s="99"/>
    </row>
    <row r="75" spans="2:9" x14ac:dyDescent="0.35">
      <c r="B75" s="99"/>
      <c r="C75" s="99"/>
      <c r="D75" s="99"/>
      <c r="E75" s="99"/>
      <c r="F75" s="99"/>
      <c r="G75" s="99"/>
      <c r="H75" s="99"/>
      <c r="I75" s="99"/>
    </row>
    <row r="76" spans="2:9" x14ac:dyDescent="0.35">
      <c r="B76" s="99"/>
      <c r="C76" s="99"/>
      <c r="D76" s="99"/>
      <c r="E76" s="99"/>
      <c r="F76" s="99"/>
      <c r="G76" s="99"/>
      <c r="H76" s="99"/>
      <c r="I76" s="99"/>
    </row>
    <row r="77" spans="2:9" x14ac:dyDescent="0.35">
      <c r="B77" s="99"/>
      <c r="C77" s="99"/>
      <c r="D77" s="99"/>
      <c r="E77" s="99"/>
      <c r="F77" s="99"/>
      <c r="G77" s="99"/>
      <c r="H77" s="99"/>
      <c r="I77" s="99"/>
    </row>
    <row r="78" spans="2:9" x14ac:dyDescent="0.35">
      <c r="B78" s="99"/>
      <c r="C78" s="99"/>
      <c r="D78" s="99"/>
      <c r="E78" s="99"/>
      <c r="F78" s="99"/>
      <c r="G78" s="99"/>
      <c r="H78" s="99"/>
      <c r="I78" s="99"/>
    </row>
    <row r="79" spans="2:9" x14ac:dyDescent="0.35">
      <c r="B79" s="99"/>
      <c r="C79" s="99"/>
      <c r="D79" s="99"/>
      <c r="E79" s="99"/>
      <c r="F79" s="99"/>
      <c r="G79" s="99"/>
      <c r="H79" s="99"/>
      <c r="I79" s="99"/>
    </row>
    <row r="80" spans="2:9" x14ac:dyDescent="0.35">
      <c r="B80" s="99"/>
      <c r="C80" s="99"/>
      <c r="D80" s="99"/>
      <c r="E80" s="99"/>
      <c r="F80" s="99"/>
      <c r="G80" s="99"/>
      <c r="H80" s="99"/>
      <c r="I80" s="99"/>
    </row>
    <row r="81" spans="2:9" x14ac:dyDescent="0.35">
      <c r="B81" s="99"/>
      <c r="C81" s="99"/>
      <c r="D81" s="99"/>
      <c r="E81" s="99"/>
      <c r="F81" s="99"/>
      <c r="G81" s="99"/>
      <c r="H81" s="99"/>
      <c r="I81" s="99"/>
    </row>
    <row r="82" spans="2:9" x14ac:dyDescent="0.35">
      <c r="B82" s="99"/>
      <c r="C82" s="99"/>
      <c r="D82" s="99"/>
      <c r="E82" s="99"/>
      <c r="F82" s="99"/>
      <c r="G82" s="99"/>
      <c r="H82" s="99"/>
      <c r="I82" s="99"/>
    </row>
    <row r="83" spans="2:9" x14ac:dyDescent="0.35">
      <c r="B83" s="99"/>
      <c r="C83" s="99"/>
      <c r="D83" s="99"/>
      <c r="E83" s="99"/>
      <c r="F83" s="99"/>
      <c r="G83" s="99"/>
      <c r="H83" s="99"/>
      <c r="I83" s="99"/>
    </row>
    <row r="84" spans="2:9" x14ac:dyDescent="0.35">
      <c r="B84" s="99"/>
      <c r="C84" s="99"/>
      <c r="D84" s="99"/>
      <c r="E84" s="99"/>
      <c r="F84" s="99"/>
      <c r="G84" s="99"/>
      <c r="H84" s="99"/>
      <c r="I84" s="99"/>
    </row>
    <row r="85" spans="2:9" x14ac:dyDescent="0.35">
      <c r="B85" s="99"/>
      <c r="C85" s="99"/>
      <c r="D85" s="99"/>
      <c r="E85" s="99"/>
      <c r="F85" s="99"/>
      <c r="G85" s="99"/>
      <c r="H85" s="99"/>
      <c r="I85" s="99"/>
    </row>
    <row r="86" spans="2:9" x14ac:dyDescent="0.35">
      <c r="B86" s="99"/>
      <c r="C86" s="99"/>
      <c r="D86" s="99"/>
      <c r="E86" s="99"/>
      <c r="F86" s="99"/>
      <c r="G86" s="99"/>
      <c r="H86" s="99"/>
      <c r="I86" s="99"/>
    </row>
    <row r="87" spans="2:9" x14ac:dyDescent="0.35">
      <c r="B87" s="99"/>
      <c r="C87" s="99"/>
      <c r="D87" s="99"/>
      <c r="E87" s="99"/>
      <c r="F87" s="99"/>
      <c r="G87" s="99"/>
      <c r="H87" s="99"/>
      <c r="I87" s="99"/>
    </row>
    <row r="88" spans="2:9" x14ac:dyDescent="0.35">
      <c r="B88" s="99"/>
      <c r="C88" s="99"/>
      <c r="D88" s="99"/>
      <c r="E88" s="99"/>
      <c r="F88" s="99"/>
      <c r="G88" s="99"/>
      <c r="H88" s="99"/>
      <c r="I88" s="99"/>
    </row>
    <row r="89" spans="2:9" x14ac:dyDescent="0.35">
      <c r="B89" s="99"/>
      <c r="C89" s="99"/>
      <c r="D89" s="99"/>
      <c r="E89" s="99"/>
      <c r="F89" s="99"/>
      <c r="G89" s="99"/>
      <c r="H89" s="99"/>
      <c r="I89" s="99"/>
    </row>
    <row r="90" spans="2:9" x14ac:dyDescent="0.35">
      <c r="B90" s="99"/>
      <c r="C90" s="99"/>
      <c r="D90" s="99"/>
      <c r="E90" s="99"/>
      <c r="F90" s="99"/>
      <c r="G90" s="99"/>
      <c r="H90" s="99"/>
      <c r="I90" s="99"/>
    </row>
    <row r="91" spans="2:9" x14ac:dyDescent="0.35">
      <c r="B91" s="99"/>
      <c r="C91" s="99"/>
      <c r="D91" s="99"/>
      <c r="E91" s="99"/>
      <c r="F91" s="99"/>
      <c r="G91" s="99"/>
      <c r="H91" s="99"/>
      <c r="I91" s="99"/>
    </row>
    <row r="92" spans="2:9" x14ac:dyDescent="0.35">
      <c r="B92" s="99"/>
      <c r="C92" s="99"/>
      <c r="D92" s="99"/>
      <c r="E92" s="99"/>
      <c r="F92" s="99"/>
      <c r="G92" s="99"/>
      <c r="H92" s="99"/>
      <c r="I92" s="99"/>
    </row>
    <row r="93" spans="2:9" x14ac:dyDescent="0.35">
      <c r="B93" s="99"/>
      <c r="C93" s="99"/>
      <c r="D93" s="99"/>
      <c r="E93" s="99"/>
      <c r="F93" s="99"/>
      <c r="G93" s="99"/>
      <c r="H93" s="99"/>
      <c r="I93" s="99"/>
    </row>
    <row r="94" spans="2:9" x14ac:dyDescent="0.35">
      <c r="B94" s="99"/>
      <c r="C94" s="99"/>
      <c r="D94" s="99"/>
      <c r="E94" s="99"/>
      <c r="F94" s="99"/>
      <c r="G94" s="99"/>
      <c r="H94" s="99"/>
      <c r="I94" s="99"/>
    </row>
    <row r="95" spans="2:9" x14ac:dyDescent="0.35">
      <c r="B95" s="99"/>
      <c r="C95" s="99"/>
      <c r="D95" s="99"/>
      <c r="E95" s="99"/>
      <c r="F95" s="99"/>
      <c r="G95" s="99"/>
      <c r="H95" s="99"/>
      <c r="I95" s="99"/>
    </row>
    <row r="96" spans="2:9" x14ac:dyDescent="0.35">
      <c r="B96" s="99"/>
      <c r="C96" s="99"/>
      <c r="D96" s="99"/>
      <c r="E96" s="99"/>
      <c r="F96" s="99"/>
      <c r="G96" s="99"/>
      <c r="H96" s="99"/>
      <c r="I96" s="99"/>
    </row>
    <row r="97" spans="2:9" x14ac:dyDescent="0.35">
      <c r="B97" s="99"/>
      <c r="C97" s="99"/>
      <c r="D97" s="99"/>
      <c r="E97" s="99"/>
      <c r="F97" s="99"/>
      <c r="G97" s="99"/>
      <c r="H97" s="99"/>
      <c r="I97" s="99"/>
    </row>
    <row r="98" spans="2:9" x14ac:dyDescent="0.35">
      <c r="B98" s="99"/>
      <c r="C98" s="99"/>
      <c r="D98" s="99"/>
      <c r="E98" s="99"/>
      <c r="F98" s="99"/>
      <c r="G98" s="99"/>
      <c r="H98" s="99"/>
      <c r="I98" s="99"/>
    </row>
    <row r="99" spans="2:9" x14ac:dyDescent="0.35">
      <c r="B99" s="99"/>
      <c r="C99" s="99"/>
      <c r="D99" s="99"/>
      <c r="E99" s="99"/>
      <c r="F99" s="99"/>
      <c r="G99" s="99"/>
      <c r="H99" s="99"/>
      <c r="I99" s="99"/>
    </row>
    <row r="100" spans="2:9" x14ac:dyDescent="0.35">
      <c r="B100" s="99"/>
      <c r="C100" s="99"/>
      <c r="D100" s="99"/>
      <c r="E100" s="99"/>
      <c r="F100" s="99"/>
      <c r="G100" s="99"/>
      <c r="H100" s="99"/>
      <c r="I100" s="99"/>
    </row>
    <row r="101" spans="2:9" x14ac:dyDescent="0.35">
      <c r="B101" s="99"/>
      <c r="C101" s="99"/>
      <c r="D101" s="99"/>
      <c r="E101" s="99"/>
      <c r="F101" s="99"/>
      <c r="G101" s="99"/>
      <c r="H101" s="99"/>
      <c r="I101" s="99"/>
    </row>
    <row r="102" spans="2:9" x14ac:dyDescent="0.35">
      <c r="B102" s="99"/>
      <c r="C102" s="99"/>
      <c r="D102" s="99"/>
      <c r="E102" s="99"/>
      <c r="F102" s="99"/>
      <c r="G102" s="99"/>
      <c r="H102" s="99"/>
      <c r="I102" s="99"/>
    </row>
    <row r="103" spans="2:9" x14ac:dyDescent="0.35">
      <c r="B103" s="99"/>
      <c r="C103" s="99"/>
      <c r="D103" s="99"/>
      <c r="E103" s="99"/>
      <c r="F103" s="99"/>
      <c r="G103" s="99"/>
      <c r="H103" s="99"/>
      <c r="I103" s="99"/>
    </row>
    <row r="104" spans="2:9" x14ac:dyDescent="0.35">
      <c r="B104" s="99"/>
      <c r="C104" s="99"/>
      <c r="D104" s="99"/>
      <c r="E104" s="99"/>
      <c r="F104" s="99"/>
      <c r="G104" s="99"/>
      <c r="H104" s="99"/>
      <c r="I104" s="99"/>
    </row>
    <row r="105" spans="2:9" x14ac:dyDescent="0.35">
      <c r="B105" s="99"/>
      <c r="C105" s="99"/>
      <c r="D105" s="99"/>
      <c r="E105" s="99"/>
      <c r="F105" s="99"/>
      <c r="G105" s="99"/>
      <c r="H105" s="99"/>
      <c r="I105" s="99"/>
    </row>
    <row r="106" spans="2:9" x14ac:dyDescent="0.35">
      <c r="B106" s="99"/>
      <c r="C106" s="99"/>
      <c r="D106" s="99"/>
      <c r="E106" s="99"/>
      <c r="F106" s="99"/>
      <c r="G106" s="99"/>
      <c r="H106" s="99"/>
      <c r="I106" s="99"/>
    </row>
    <row r="107" spans="2:9" x14ac:dyDescent="0.35">
      <c r="B107" s="99"/>
      <c r="C107" s="99"/>
      <c r="D107" s="99"/>
      <c r="E107" s="99"/>
      <c r="F107" s="99"/>
      <c r="G107" s="99"/>
      <c r="H107" s="99"/>
      <c r="I107" s="99"/>
    </row>
    <row r="108" spans="2:9" x14ac:dyDescent="0.35">
      <c r="B108" s="99"/>
      <c r="C108" s="99"/>
      <c r="D108" s="99"/>
      <c r="E108" s="99"/>
      <c r="F108" s="99"/>
      <c r="G108" s="99"/>
      <c r="H108" s="99"/>
      <c r="I108" s="99"/>
    </row>
    <row r="109" spans="2:9" x14ac:dyDescent="0.35">
      <c r="B109" s="99"/>
      <c r="C109" s="99"/>
      <c r="D109" s="99"/>
      <c r="E109" s="99"/>
      <c r="F109" s="99"/>
      <c r="G109" s="99"/>
      <c r="H109" s="99"/>
      <c r="I109" s="99"/>
    </row>
    <row r="110" spans="2:9" x14ac:dyDescent="0.35">
      <c r="B110" s="99"/>
      <c r="C110" s="99"/>
      <c r="D110" s="99"/>
      <c r="E110" s="99"/>
      <c r="F110" s="99"/>
      <c r="G110" s="99"/>
      <c r="H110" s="99"/>
      <c r="I110" s="99"/>
    </row>
    <row r="111" spans="2:9" x14ac:dyDescent="0.35">
      <c r="B111" s="99"/>
      <c r="C111" s="99"/>
      <c r="D111" s="99"/>
      <c r="E111" s="99"/>
      <c r="F111" s="99"/>
      <c r="G111" s="99"/>
      <c r="H111" s="99"/>
      <c r="I111" s="99"/>
    </row>
    <row r="112" spans="2:9" x14ac:dyDescent="0.35">
      <c r="B112" s="99"/>
      <c r="C112" s="99"/>
      <c r="D112" s="99"/>
      <c r="E112" s="99"/>
      <c r="F112" s="99"/>
      <c r="G112" s="99"/>
      <c r="H112" s="99"/>
      <c r="I112" s="99"/>
    </row>
    <row r="113" spans="2:9" x14ac:dyDescent="0.35">
      <c r="B113" s="99"/>
      <c r="C113" s="99"/>
      <c r="D113" s="99"/>
      <c r="E113" s="99"/>
      <c r="F113" s="99"/>
      <c r="G113" s="99"/>
      <c r="H113" s="99"/>
      <c r="I113" s="99"/>
    </row>
    <row r="114" spans="2:9" x14ac:dyDescent="0.35">
      <c r="B114" s="99"/>
      <c r="C114" s="99"/>
      <c r="D114" s="99"/>
      <c r="E114" s="99"/>
      <c r="F114" s="99"/>
      <c r="G114" s="99"/>
      <c r="H114" s="99"/>
      <c r="I114" s="99"/>
    </row>
    <row r="115" spans="2:9" x14ac:dyDescent="0.35">
      <c r="B115" s="99"/>
      <c r="C115" s="99"/>
      <c r="D115" s="99"/>
      <c r="E115" s="99"/>
      <c r="F115" s="99"/>
      <c r="G115" s="99"/>
      <c r="H115" s="99"/>
      <c r="I115" s="99"/>
    </row>
    <row r="116" spans="2:9" x14ac:dyDescent="0.35">
      <c r="B116" s="99"/>
      <c r="C116" s="99"/>
      <c r="D116" s="99"/>
      <c r="E116" s="99"/>
      <c r="F116" s="99"/>
      <c r="G116" s="99"/>
      <c r="H116" s="99"/>
      <c r="I116" s="99"/>
    </row>
    <row r="117" spans="2:9" x14ac:dyDescent="0.35">
      <c r="B117" s="99"/>
      <c r="C117" s="99"/>
      <c r="D117" s="99"/>
      <c r="E117" s="99"/>
      <c r="F117" s="99"/>
      <c r="G117" s="99"/>
      <c r="H117" s="99"/>
      <c r="I117" s="99"/>
    </row>
    <row r="118" spans="2:9" x14ac:dyDescent="0.35">
      <c r="B118" s="99"/>
      <c r="C118" s="99"/>
      <c r="D118" s="99"/>
      <c r="E118" s="99"/>
      <c r="F118" s="99"/>
      <c r="G118" s="99"/>
      <c r="H118" s="99"/>
      <c r="I118" s="99"/>
    </row>
    <row r="119" spans="2:9" x14ac:dyDescent="0.35">
      <c r="B119" s="99"/>
      <c r="C119" s="99"/>
      <c r="D119" s="99"/>
      <c r="E119" s="99"/>
      <c r="F119" s="99"/>
      <c r="G119" s="99"/>
      <c r="H119" s="99"/>
      <c r="I119" s="99"/>
    </row>
    <row r="120" spans="2:9" x14ac:dyDescent="0.35">
      <c r="B120" s="99"/>
      <c r="C120" s="99"/>
      <c r="D120" s="99"/>
      <c r="E120" s="99"/>
      <c r="F120" s="99"/>
      <c r="G120" s="99"/>
      <c r="H120" s="99"/>
      <c r="I120" s="99"/>
    </row>
    <row r="121" spans="2:9" x14ac:dyDescent="0.35">
      <c r="B121" s="99"/>
      <c r="C121" s="99"/>
      <c r="D121" s="99"/>
      <c r="E121" s="99"/>
      <c r="F121" s="99"/>
      <c r="G121" s="99"/>
      <c r="H121" s="99"/>
      <c r="I121" s="99"/>
    </row>
    <row r="122" spans="2:9" x14ac:dyDescent="0.35">
      <c r="B122" s="99"/>
      <c r="C122" s="99"/>
      <c r="D122" s="99"/>
      <c r="E122" s="99"/>
      <c r="F122" s="99"/>
      <c r="G122" s="99"/>
      <c r="H122" s="99"/>
      <c r="I122" s="99"/>
    </row>
    <row r="123" spans="2:9" x14ac:dyDescent="0.35">
      <c r="B123" s="99"/>
      <c r="C123" s="99"/>
      <c r="D123" s="99"/>
      <c r="E123" s="99"/>
      <c r="F123" s="99"/>
      <c r="G123" s="99"/>
      <c r="H123" s="99"/>
      <c r="I123" s="99"/>
    </row>
    <row r="124" spans="2:9" x14ac:dyDescent="0.35">
      <c r="B124" s="99"/>
      <c r="C124" s="99"/>
      <c r="D124" s="99"/>
      <c r="E124" s="99"/>
      <c r="F124" s="99"/>
      <c r="G124" s="99"/>
      <c r="H124" s="99"/>
      <c r="I124" s="99"/>
    </row>
    <row r="125" spans="2:9" x14ac:dyDescent="0.35">
      <c r="B125" s="99"/>
      <c r="C125" s="99"/>
      <c r="D125" s="99"/>
      <c r="E125" s="99"/>
      <c r="F125" s="99"/>
      <c r="G125" s="99"/>
      <c r="H125" s="99"/>
      <c r="I125" s="99"/>
    </row>
    <row r="126" spans="2:9" x14ac:dyDescent="0.35">
      <c r="B126" s="99"/>
      <c r="C126" s="99"/>
      <c r="D126" s="99"/>
      <c r="E126" s="99"/>
      <c r="F126" s="99"/>
      <c r="G126" s="99"/>
      <c r="H126" s="99"/>
      <c r="I126" s="99"/>
    </row>
    <row r="127" spans="2:9" x14ac:dyDescent="0.35">
      <c r="B127" s="99"/>
      <c r="C127" s="99"/>
      <c r="D127" s="99"/>
      <c r="E127" s="99"/>
      <c r="F127" s="99"/>
      <c r="G127" s="99"/>
      <c r="H127" s="99"/>
      <c r="I127" s="99"/>
    </row>
    <row r="128" spans="2:9" x14ac:dyDescent="0.35">
      <c r="B128" s="99"/>
      <c r="C128" s="99"/>
      <c r="D128" s="99"/>
      <c r="E128" s="99"/>
      <c r="F128" s="99"/>
      <c r="G128" s="99"/>
      <c r="H128" s="99"/>
      <c r="I128" s="99"/>
    </row>
    <row r="129" spans="2:9" x14ac:dyDescent="0.35">
      <c r="B129" s="99"/>
      <c r="C129" s="99"/>
      <c r="D129" s="99"/>
      <c r="E129" s="99"/>
      <c r="F129" s="99"/>
      <c r="G129" s="99"/>
      <c r="H129" s="99"/>
      <c r="I129" s="99"/>
    </row>
    <row r="130" spans="2:9" x14ac:dyDescent="0.35">
      <c r="B130" s="99"/>
      <c r="C130" s="99"/>
      <c r="D130" s="99"/>
      <c r="E130" s="99"/>
      <c r="F130" s="99"/>
      <c r="G130" s="99"/>
      <c r="H130" s="99"/>
      <c r="I130" s="99"/>
    </row>
    <row r="131" spans="2:9" x14ac:dyDescent="0.35">
      <c r="B131" s="99"/>
      <c r="C131" s="99"/>
      <c r="D131" s="99"/>
      <c r="E131" s="99"/>
      <c r="F131" s="99"/>
      <c r="G131" s="99"/>
      <c r="H131" s="99"/>
      <c r="I131" s="99"/>
    </row>
    <row r="132" spans="2:9" x14ac:dyDescent="0.35">
      <c r="B132" s="99"/>
      <c r="C132" s="99"/>
      <c r="D132" s="99"/>
      <c r="E132" s="99"/>
      <c r="F132" s="99"/>
      <c r="G132" s="99"/>
      <c r="H132" s="99"/>
      <c r="I132" s="99"/>
    </row>
    <row r="133" spans="2:9" x14ac:dyDescent="0.35">
      <c r="B133" s="99"/>
      <c r="C133" s="99"/>
      <c r="D133" s="99"/>
      <c r="E133" s="99"/>
      <c r="F133" s="99"/>
      <c r="G133" s="99"/>
      <c r="H133" s="99"/>
      <c r="I133" s="99"/>
    </row>
    <row r="134" spans="2:9" x14ac:dyDescent="0.35">
      <c r="B134" s="99"/>
      <c r="C134" s="99"/>
      <c r="D134" s="99"/>
      <c r="E134" s="99"/>
      <c r="F134" s="99"/>
      <c r="G134" s="99"/>
      <c r="H134" s="99"/>
      <c r="I134" s="99"/>
    </row>
    <row r="135" spans="2:9" x14ac:dyDescent="0.35">
      <c r="B135" s="99"/>
      <c r="C135" s="99"/>
      <c r="D135" s="99"/>
      <c r="E135" s="99"/>
      <c r="F135" s="99"/>
      <c r="G135" s="99"/>
      <c r="H135" s="99"/>
      <c r="I135" s="99"/>
    </row>
    <row r="136" spans="2:9" x14ac:dyDescent="0.35">
      <c r="B136" s="99"/>
      <c r="C136" s="99"/>
      <c r="D136" s="99"/>
      <c r="E136" s="99"/>
      <c r="F136" s="99"/>
      <c r="G136" s="99"/>
      <c r="H136" s="99"/>
      <c r="I136" s="99"/>
    </row>
    <row r="137" spans="2:9" x14ac:dyDescent="0.35">
      <c r="B137" s="99"/>
      <c r="C137" s="99"/>
      <c r="D137" s="99"/>
      <c r="E137" s="99"/>
      <c r="F137" s="99"/>
      <c r="G137" s="99"/>
      <c r="H137" s="99"/>
      <c r="I137" s="99"/>
    </row>
    <row r="138" spans="2:9" x14ac:dyDescent="0.35">
      <c r="B138" s="99"/>
      <c r="C138" s="99"/>
      <c r="D138" s="99"/>
      <c r="E138" s="99"/>
      <c r="F138" s="99"/>
      <c r="G138" s="99"/>
      <c r="H138" s="99"/>
      <c r="I138" s="99"/>
    </row>
    <row r="139" spans="2:9" x14ac:dyDescent="0.35">
      <c r="B139" s="99"/>
      <c r="C139" s="99"/>
      <c r="D139" s="99"/>
      <c r="E139" s="99"/>
      <c r="F139" s="99"/>
      <c r="G139" s="99"/>
      <c r="H139" s="99"/>
      <c r="I139" s="99"/>
    </row>
    <row r="140" spans="2:9" x14ac:dyDescent="0.35">
      <c r="B140" s="99"/>
      <c r="C140" s="99"/>
      <c r="D140" s="99"/>
      <c r="E140" s="99"/>
      <c r="F140" s="99"/>
      <c r="G140" s="99"/>
      <c r="H140" s="99"/>
      <c r="I140" s="99"/>
    </row>
    <row r="141" spans="2:9" x14ac:dyDescent="0.35">
      <c r="B141" s="99"/>
      <c r="C141" s="99"/>
      <c r="D141" s="99"/>
      <c r="E141" s="99"/>
      <c r="F141" s="99"/>
      <c r="G141" s="99"/>
      <c r="H141" s="99"/>
      <c r="I141" s="99"/>
    </row>
    <row r="142" spans="2:9" x14ac:dyDescent="0.35">
      <c r="B142" s="99"/>
      <c r="C142" s="99"/>
      <c r="D142" s="99"/>
      <c r="E142" s="99"/>
      <c r="F142" s="99"/>
      <c r="G142" s="99"/>
      <c r="H142" s="99"/>
      <c r="I142" s="99"/>
    </row>
    <row r="143" spans="2:9" x14ac:dyDescent="0.35">
      <c r="B143" s="99"/>
      <c r="C143" s="99"/>
      <c r="D143" s="99"/>
      <c r="E143" s="99"/>
      <c r="F143" s="99"/>
      <c r="G143" s="99"/>
      <c r="H143" s="99"/>
      <c r="I143" s="99"/>
    </row>
    <row r="144" spans="2:9" x14ac:dyDescent="0.35">
      <c r="B144" s="99"/>
      <c r="C144" s="99"/>
      <c r="D144" s="99"/>
      <c r="E144" s="99"/>
      <c r="F144" s="99"/>
      <c r="G144" s="99"/>
      <c r="H144" s="99"/>
      <c r="I144" s="99"/>
    </row>
    <row r="145" spans="2:9" x14ac:dyDescent="0.35">
      <c r="B145" s="99"/>
      <c r="C145" s="99"/>
      <c r="D145" s="99"/>
      <c r="E145" s="99"/>
      <c r="F145" s="99"/>
      <c r="G145" s="99"/>
      <c r="H145" s="99"/>
      <c r="I145" s="99"/>
    </row>
    <row r="146" spans="2:9" x14ac:dyDescent="0.35">
      <c r="B146" s="99"/>
      <c r="C146" s="99"/>
      <c r="D146" s="99"/>
      <c r="E146" s="99"/>
      <c r="F146" s="99"/>
      <c r="G146" s="99"/>
      <c r="H146" s="99"/>
      <c r="I146" s="99"/>
    </row>
    <row r="147" spans="2:9" x14ac:dyDescent="0.35">
      <c r="B147" s="99"/>
      <c r="C147" s="99"/>
      <c r="D147" s="99"/>
      <c r="E147" s="99"/>
      <c r="F147" s="99"/>
      <c r="G147" s="99"/>
      <c r="H147" s="99"/>
      <c r="I147" s="99"/>
    </row>
    <row r="148" spans="2:9" x14ac:dyDescent="0.35">
      <c r="B148" s="99"/>
      <c r="C148" s="99"/>
      <c r="D148" s="99"/>
      <c r="E148" s="99"/>
      <c r="F148" s="99"/>
      <c r="G148" s="99"/>
      <c r="H148" s="99"/>
      <c r="I148" s="99"/>
    </row>
    <row r="149" spans="2:9" x14ac:dyDescent="0.35">
      <c r="B149" s="99"/>
      <c r="C149" s="99"/>
      <c r="D149" s="99"/>
      <c r="E149" s="99"/>
      <c r="F149" s="99"/>
      <c r="G149" s="99"/>
      <c r="H149" s="99"/>
      <c r="I149" s="99"/>
    </row>
    <row r="150" spans="2:9" x14ac:dyDescent="0.35">
      <c r="B150" s="99"/>
      <c r="C150" s="99"/>
      <c r="D150" s="99"/>
      <c r="E150" s="99"/>
      <c r="F150" s="99"/>
      <c r="G150" s="99"/>
      <c r="H150" s="99"/>
      <c r="I150" s="99"/>
    </row>
    <row r="151" spans="2:9" x14ac:dyDescent="0.35">
      <c r="B151" s="99"/>
      <c r="C151" s="99"/>
      <c r="D151" s="99"/>
      <c r="E151" s="99"/>
      <c r="F151" s="99"/>
      <c r="G151" s="99"/>
      <c r="H151" s="99"/>
      <c r="I151" s="99"/>
    </row>
    <row r="152" spans="2:9" x14ac:dyDescent="0.35">
      <c r="B152" s="99"/>
      <c r="C152" s="99"/>
      <c r="D152" s="99"/>
      <c r="E152" s="99"/>
      <c r="F152" s="99"/>
      <c r="G152" s="99"/>
      <c r="H152" s="99"/>
      <c r="I152" s="99"/>
    </row>
    <row r="153" spans="2:9" x14ac:dyDescent="0.35">
      <c r="B153" s="99"/>
      <c r="C153" s="99"/>
      <c r="D153" s="99"/>
      <c r="E153" s="99"/>
      <c r="F153" s="99"/>
      <c r="G153" s="99"/>
      <c r="H153" s="99"/>
      <c r="I153" s="99"/>
    </row>
    <row r="154" spans="2:9" x14ac:dyDescent="0.35">
      <c r="B154" s="99"/>
      <c r="C154" s="99"/>
      <c r="D154" s="99"/>
      <c r="E154" s="99"/>
      <c r="F154" s="99"/>
      <c r="G154" s="99"/>
      <c r="H154" s="99"/>
      <c r="I154" s="99"/>
    </row>
    <row r="155" spans="2:9" x14ac:dyDescent="0.35">
      <c r="B155" s="99"/>
      <c r="C155" s="99"/>
      <c r="D155" s="99"/>
      <c r="E155" s="99"/>
      <c r="F155" s="99"/>
      <c r="G155" s="99"/>
      <c r="H155" s="99"/>
      <c r="I155" s="99"/>
    </row>
    <row r="156" spans="2:9" x14ac:dyDescent="0.35">
      <c r="B156" s="99"/>
      <c r="C156" s="99"/>
      <c r="D156" s="99"/>
      <c r="E156" s="99"/>
      <c r="F156" s="99"/>
      <c r="G156" s="99"/>
      <c r="H156" s="99"/>
      <c r="I156" s="99"/>
    </row>
    <row r="157" spans="2:9" x14ac:dyDescent="0.35">
      <c r="B157" s="99"/>
      <c r="C157" s="99"/>
      <c r="D157" s="99"/>
      <c r="E157" s="99"/>
      <c r="F157" s="99"/>
      <c r="G157" s="99"/>
      <c r="H157" s="99"/>
      <c r="I157" s="99"/>
    </row>
    <row r="158" spans="2:9" x14ac:dyDescent="0.35">
      <c r="B158" s="99"/>
      <c r="C158" s="99"/>
      <c r="D158" s="99"/>
      <c r="E158" s="99"/>
      <c r="F158" s="99"/>
      <c r="G158" s="99"/>
      <c r="H158" s="99"/>
      <c r="I158" s="99"/>
    </row>
    <row r="159" spans="2:9" x14ac:dyDescent="0.35">
      <c r="B159" s="99"/>
      <c r="C159" s="99"/>
      <c r="D159" s="99"/>
      <c r="E159" s="99"/>
      <c r="F159" s="99"/>
      <c r="G159" s="99"/>
      <c r="H159" s="99"/>
      <c r="I159" s="99"/>
    </row>
    <row r="160" spans="2:9" x14ac:dyDescent="0.35">
      <c r="B160" s="99"/>
      <c r="C160" s="99"/>
      <c r="D160" s="99"/>
      <c r="E160" s="99"/>
      <c r="F160" s="99"/>
      <c r="G160" s="99"/>
      <c r="H160" s="99"/>
      <c r="I160" s="99"/>
    </row>
    <row r="161" spans="2:9" x14ac:dyDescent="0.35">
      <c r="B161" s="99"/>
      <c r="C161" s="99"/>
      <c r="D161" s="99"/>
      <c r="E161" s="99"/>
      <c r="F161" s="99"/>
      <c r="G161" s="99"/>
      <c r="H161" s="99"/>
      <c r="I161" s="99"/>
    </row>
    <row r="162" spans="2:9" x14ac:dyDescent="0.35">
      <c r="B162" s="99"/>
      <c r="C162" s="99"/>
      <c r="D162" s="99"/>
      <c r="E162" s="99"/>
      <c r="F162" s="99"/>
      <c r="G162" s="99"/>
      <c r="H162" s="99"/>
      <c r="I162" s="99"/>
    </row>
    <row r="163" spans="2:9" x14ac:dyDescent="0.35">
      <c r="B163" s="99"/>
      <c r="C163" s="99"/>
      <c r="D163" s="99"/>
      <c r="E163" s="99"/>
      <c r="F163" s="99"/>
      <c r="G163" s="99"/>
      <c r="H163" s="99"/>
      <c r="I163" s="99"/>
    </row>
    <row r="164" spans="2:9" x14ac:dyDescent="0.35">
      <c r="B164" s="99"/>
      <c r="C164" s="99"/>
      <c r="D164" s="99"/>
      <c r="E164" s="99"/>
      <c r="F164" s="99"/>
      <c r="G164" s="99"/>
      <c r="H164" s="99"/>
      <c r="I164" s="99"/>
    </row>
    <row r="165" spans="2:9" x14ac:dyDescent="0.35">
      <c r="B165" s="99"/>
      <c r="C165" s="99"/>
      <c r="D165" s="99"/>
      <c r="E165" s="99"/>
      <c r="F165" s="99"/>
      <c r="G165" s="99"/>
      <c r="H165" s="99"/>
      <c r="I165" s="99"/>
    </row>
    <row r="166" spans="2:9" x14ac:dyDescent="0.35">
      <c r="B166" s="99"/>
      <c r="C166" s="99"/>
      <c r="D166" s="99"/>
      <c r="E166" s="99"/>
      <c r="F166" s="99"/>
      <c r="G166" s="99"/>
      <c r="H166" s="99"/>
      <c r="I166" s="99"/>
    </row>
    <row r="167" spans="2:9" x14ac:dyDescent="0.35">
      <c r="B167" s="99"/>
      <c r="C167" s="99"/>
      <c r="D167" s="99"/>
      <c r="E167" s="99"/>
      <c r="F167" s="99"/>
      <c r="G167" s="99"/>
      <c r="H167" s="99"/>
      <c r="I167" s="99"/>
    </row>
    <row r="168" spans="2:9" x14ac:dyDescent="0.35">
      <c r="B168" s="99"/>
      <c r="C168" s="99"/>
      <c r="D168" s="99"/>
      <c r="E168" s="99"/>
      <c r="F168" s="99"/>
      <c r="G168" s="99"/>
      <c r="H168" s="99"/>
      <c r="I168" s="99"/>
    </row>
    <row r="169" spans="2:9" x14ac:dyDescent="0.35">
      <c r="B169" s="99"/>
      <c r="C169" s="99"/>
      <c r="D169" s="99"/>
      <c r="E169" s="99"/>
      <c r="F169" s="99"/>
      <c r="G169" s="99"/>
      <c r="H169" s="99"/>
      <c r="I169" s="99"/>
    </row>
    <row r="170" spans="2:9" x14ac:dyDescent="0.35">
      <c r="B170" s="99"/>
      <c r="C170" s="99"/>
      <c r="D170" s="99"/>
      <c r="E170" s="99"/>
      <c r="F170" s="99"/>
      <c r="G170" s="99"/>
      <c r="H170" s="99"/>
      <c r="I170" s="99"/>
    </row>
    <row r="171" spans="2:9" x14ac:dyDescent="0.35">
      <c r="B171" s="99"/>
      <c r="C171" s="99"/>
      <c r="D171" s="99"/>
      <c r="E171" s="99"/>
      <c r="F171" s="99"/>
      <c r="G171" s="99"/>
      <c r="H171" s="99"/>
      <c r="I171" s="99"/>
    </row>
    <row r="172" spans="2:9" x14ac:dyDescent="0.35">
      <c r="B172" s="99"/>
      <c r="C172" s="99"/>
      <c r="D172" s="99"/>
      <c r="E172" s="99"/>
      <c r="F172" s="99"/>
      <c r="G172" s="99"/>
      <c r="H172" s="99"/>
      <c r="I172" s="99"/>
    </row>
    <row r="173" spans="2:9" x14ac:dyDescent="0.35">
      <c r="B173" s="99"/>
      <c r="C173" s="99"/>
      <c r="D173" s="99"/>
      <c r="E173" s="99"/>
      <c r="F173" s="99"/>
      <c r="G173" s="99"/>
      <c r="H173" s="99"/>
      <c r="I173" s="99"/>
    </row>
    <row r="174" spans="2:9" x14ac:dyDescent="0.35">
      <c r="B174" s="99"/>
      <c r="C174" s="99"/>
      <c r="D174" s="99"/>
      <c r="E174" s="99"/>
      <c r="F174" s="99"/>
      <c r="G174" s="99"/>
      <c r="H174" s="99"/>
      <c r="I174" s="99"/>
    </row>
    <row r="175" spans="2:9" x14ac:dyDescent="0.35">
      <c r="B175" s="99"/>
      <c r="C175" s="99"/>
      <c r="D175" s="99"/>
      <c r="E175" s="99"/>
      <c r="F175" s="99"/>
      <c r="G175" s="99"/>
      <c r="H175" s="99"/>
      <c r="I175" s="99"/>
    </row>
    <row r="176" spans="2:9" x14ac:dyDescent="0.35">
      <c r="B176" s="99"/>
      <c r="C176" s="99"/>
      <c r="D176" s="99"/>
      <c r="E176" s="99"/>
      <c r="F176" s="99"/>
      <c r="G176" s="99"/>
      <c r="H176" s="99"/>
      <c r="I176" s="99"/>
    </row>
    <row r="177" spans="2:9" x14ac:dyDescent="0.35">
      <c r="B177" s="99"/>
      <c r="C177" s="99"/>
      <c r="D177" s="99"/>
      <c r="E177" s="99"/>
      <c r="F177" s="99"/>
      <c r="G177" s="99"/>
      <c r="H177" s="99"/>
      <c r="I177" s="99"/>
    </row>
    <row r="178" spans="2:9" x14ac:dyDescent="0.35">
      <c r="B178" s="99"/>
      <c r="C178" s="99"/>
      <c r="D178" s="99"/>
      <c r="E178" s="99"/>
      <c r="F178" s="99"/>
      <c r="G178" s="99"/>
      <c r="H178" s="99"/>
      <c r="I178" s="99"/>
    </row>
    <row r="179" spans="2:9" x14ac:dyDescent="0.35">
      <c r="B179" s="99"/>
      <c r="C179" s="99"/>
      <c r="D179" s="99"/>
      <c r="E179" s="99"/>
      <c r="F179" s="99"/>
      <c r="G179" s="99"/>
      <c r="H179" s="99"/>
      <c r="I179" s="99"/>
    </row>
    <row r="180" spans="2:9" x14ac:dyDescent="0.35">
      <c r="B180" s="99"/>
      <c r="C180" s="99"/>
      <c r="D180" s="99"/>
      <c r="E180" s="99"/>
      <c r="F180" s="99"/>
      <c r="G180" s="99"/>
      <c r="H180" s="99"/>
      <c r="I180" s="99"/>
    </row>
  </sheetData>
  <mergeCells count="9">
    <mergeCell ref="A3:I3"/>
    <mergeCell ref="A5:I5"/>
    <mergeCell ref="A59:I59"/>
    <mergeCell ref="A61:I61"/>
    <mergeCell ref="A63:I63"/>
    <mergeCell ref="B7:D7"/>
    <mergeCell ref="E7:H7"/>
    <mergeCell ref="I7:I8"/>
    <mergeCell ref="A7:A8"/>
  </mergeCells>
  <phoneticPr fontId="0" type="noConversion"/>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110" zoomScaleNormal="110" workbookViewId="0">
      <selection activeCell="A15" sqref="A15:F15"/>
    </sheetView>
  </sheetViews>
  <sheetFormatPr baseColWidth="10" defaultRowHeight="14.6" x14ac:dyDescent="0.4"/>
  <cols>
    <col min="1" max="1" width="24" customWidth="1"/>
    <col min="2" max="2" width="15.84375" customWidth="1"/>
    <col min="3" max="3" width="8.3046875" style="2" customWidth="1"/>
    <col min="4" max="4" width="9" customWidth="1"/>
    <col min="5" max="5" width="10.69140625" customWidth="1"/>
    <col min="6" max="6" width="11.53515625" customWidth="1"/>
  </cols>
  <sheetData>
    <row r="1" spans="1:6" ht="28.3" x14ac:dyDescent="0.75">
      <c r="A1" s="214" t="s">
        <v>272</v>
      </c>
    </row>
    <row r="3" spans="1:6" ht="72" customHeight="1" x14ac:dyDescent="0.4">
      <c r="A3" s="344" t="s">
        <v>274</v>
      </c>
      <c r="B3" s="345"/>
      <c r="C3" s="345"/>
      <c r="D3" s="345"/>
      <c r="E3" s="345"/>
      <c r="F3" s="346"/>
    </row>
    <row r="5" spans="1:6" x14ac:dyDescent="0.4">
      <c r="A5" s="372" t="s">
        <v>273</v>
      </c>
      <c r="B5" s="372" t="s">
        <v>85</v>
      </c>
      <c r="C5" s="374" t="s">
        <v>90</v>
      </c>
      <c r="D5" s="374" t="s">
        <v>93</v>
      </c>
      <c r="E5" s="371" t="s">
        <v>96</v>
      </c>
      <c r="F5" s="371"/>
    </row>
    <row r="6" spans="1:6" x14ac:dyDescent="0.4">
      <c r="A6" s="373"/>
      <c r="B6" s="373"/>
      <c r="C6" s="375"/>
      <c r="D6" s="375"/>
      <c r="E6" s="9" t="s">
        <v>94</v>
      </c>
      <c r="F6" s="9" t="s">
        <v>95</v>
      </c>
    </row>
    <row r="7" spans="1:6" x14ac:dyDescent="0.4">
      <c r="A7" s="240" t="s">
        <v>80</v>
      </c>
      <c r="B7" s="240" t="s">
        <v>88</v>
      </c>
      <c r="C7" s="241" t="s">
        <v>91</v>
      </c>
      <c r="D7" s="242">
        <f>5500*BETRIEB!B9</f>
        <v>8250</v>
      </c>
      <c r="E7" s="243">
        <v>0.16</v>
      </c>
      <c r="F7" s="242">
        <f>+D7*E7</f>
        <v>1320</v>
      </c>
    </row>
    <row r="8" spans="1:6" x14ac:dyDescent="0.4">
      <c r="A8" s="7" t="s">
        <v>81</v>
      </c>
      <c r="B8" s="7" t="s">
        <v>88</v>
      </c>
      <c r="C8" s="59" t="s">
        <v>91</v>
      </c>
      <c r="D8" s="64">
        <f>4500*BETRIEB!B10</f>
        <v>5625</v>
      </c>
      <c r="E8" s="34">
        <v>0.16</v>
      </c>
      <c r="F8" s="64">
        <f>+D8*E8</f>
        <v>900</v>
      </c>
    </row>
    <row r="9" spans="1:6" x14ac:dyDescent="0.4">
      <c r="A9" s="244" t="s">
        <v>82</v>
      </c>
      <c r="B9" s="244" t="s">
        <v>86</v>
      </c>
      <c r="C9" s="245" t="s">
        <v>91</v>
      </c>
      <c r="D9" s="246">
        <v>7</v>
      </c>
      <c r="E9" s="246">
        <v>480</v>
      </c>
      <c r="F9" s="246">
        <f>+D9*E9</f>
        <v>3360</v>
      </c>
    </row>
    <row r="10" spans="1:6" ht="29.15" x14ac:dyDescent="0.4">
      <c r="A10" s="61" t="s">
        <v>83</v>
      </c>
      <c r="B10" s="60" t="s">
        <v>89</v>
      </c>
      <c r="C10" s="62" t="s">
        <v>92</v>
      </c>
      <c r="D10" s="66">
        <f>+D29</f>
        <v>651.1</v>
      </c>
      <c r="E10" s="279">
        <v>4.5</v>
      </c>
      <c r="F10" s="66">
        <f>+D10*E10</f>
        <v>2929.9500000000003</v>
      </c>
    </row>
    <row r="11" spans="1:6" x14ac:dyDescent="0.4">
      <c r="A11" s="247" t="s">
        <v>84</v>
      </c>
      <c r="B11" s="247" t="s">
        <v>88</v>
      </c>
      <c r="C11" s="248" t="s">
        <v>91</v>
      </c>
      <c r="D11" s="249">
        <f>3500*(BETRIEB!B9+BETRIEB!B10)</f>
        <v>9625</v>
      </c>
      <c r="E11" s="250">
        <v>0.04</v>
      </c>
      <c r="F11" s="249">
        <f>+D11*E11</f>
        <v>385</v>
      </c>
    </row>
    <row r="13" spans="1:6" ht="125.25" customHeight="1" x14ac:dyDescent="0.4">
      <c r="A13" s="344" t="s">
        <v>275</v>
      </c>
      <c r="B13" s="345"/>
      <c r="C13" s="345"/>
      <c r="D13" s="345"/>
      <c r="E13" s="345"/>
      <c r="F13" s="346"/>
    </row>
    <row r="15" spans="1:6" ht="174.75" customHeight="1" x14ac:dyDescent="0.4">
      <c r="A15" s="344" t="s">
        <v>347</v>
      </c>
      <c r="B15" s="345"/>
      <c r="C15" s="345"/>
      <c r="D15" s="345"/>
      <c r="E15" s="345"/>
      <c r="F15" s="346"/>
    </row>
    <row r="16" spans="1:6" ht="15.9" x14ac:dyDescent="0.4">
      <c r="A16" s="213"/>
    </row>
    <row r="17" spans="1:6" ht="18.45" x14ac:dyDescent="0.4">
      <c r="A17" s="253" t="s">
        <v>285</v>
      </c>
    </row>
    <row r="18" spans="1:6" ht="180" customHeight="1" x14ac:dyDescent="0.4">
      <c r="A18" s="379" t="s">
        <v>286</v>
      </c>
      <c r="B18" s="380"/>
      <c r="C18" s="380"/>
      <c r="D18" s="380"/>
      <c r="E18" s="380"/>
      <c r="F18" s="381"/>
    </row>
    <row r="19" spans="1:6" ht="15.9" x14ac:dyDescent="0.4">
      <c r="A19" s="213"/>
    </row>
    <row r="20" spans="1:6" ht="29.15" x14ac:dyDescent="0.4">
      <c r="A20" s="93" t="s">
        <v>101</v>
      </c>
      <c r="B20" s="94" t="s">
        <v>115</v>
      </c>
      <c r="C20" s="95" t="s">
        <v>114</v>
      </c>
      <c r="D20" s="95" t="s">
        <v>97</v>
      </c>
      <c r="E20" s="95" t="s">
        <v>282</v>
      </c>
      <c r="F20" s="95" t="s">
        <v>284</v>
      </c>
    </row>
    <row r="21" spans="1:6" x14ac:dyDescent="0.4">
      <c r="A21" s="6" t="s">
        <v>9</v>
      </c>
      <c r="B21" s="21">
        <v>23.3</v>
      </c>
      <c r="C21" s="21">
        <v>15</v>
      </c>
      <c r="D21" s="15">
        <f>+B21*C21</f>
        <v>349.5</v>
      </c>
      <c r="E21" s="15">
        <f>+D21*$B$30</f>
        <v>1572.75</v>
      </c>
      <c r="F21" s="365">
        <f>+E21+E22+E23+E24+E25</f>
        <v>2396.7000000000003</v>
      </c>
    </row>
    <row r="22" spans="1:6" x14ac:dyDescent="0.4">
      <c r="A22" s="7" t="s">
        <v>10</v>
      </c>
      <c r="B22" s="22">
        <v>15.299999999999999</v>
      </c>
      <c r="C22" s="22">
        <v>3</v>
      </c>
      <c r="D22" s="16">
        <f t="shared" ref="D22:D28" si="0">+B22*C22</f>
        <v>45.9</v>
      </c>
      <c r="E22" s="16">
        <f t="shared" ref="E22:E28" si="1">+D22*$B$30</f>
        <v>206.54999999999998</v>
      </c>
      <c r="F22" s="366"/>
    </row>
    <row r="23" spans="1:6" x14ac:dyDescent="0.4">
      <c r="A23" s="7" t="s">
        <v>276</v>
      </c>
      <c r="B23" s="22">
        <v>11.6</v>
      </c>
      <c r="C23" s="22">
        <v>8</v>
      </c>
      <c r="D23" s="16">
        <f t="shared" si="0"/>
        <v>92.8</v>
      </c>
      <c r="E23" s="16">
        <f t="shared" si="1"/>
        <v>417.59999999999997</v>
      </c>
      <c r="F23" s="366"/>
    </row>
    <row r="24" spans="1:6" x14ac:dyDescent="0.4">
      <c r="A24" s="7" t="s">
        <v>279</v>
      </c>
      <c r="B24" s="22">
        <v>6.8</v>
      </c>
      <c r="C24" s="22">
        <v>5</v>
      </c>
      <c r="D24" s="16">
        <f t="shared" si="0"/>
        <v>34</v>
      </c>
      <c r="E24" s="16">
        <f t="shared" si="1"/>
        <v>153</v>
      </c>
      <c r="F24" s="366"/>
    </row>
    <row r="25" spans="1:6" x14ac:dyDescent="0.4">
      <c r="A25" s="8" t="s">
        <v>277</v>
      </c>
      <c r="B25" s="23">
        <v>2.6</v>
      </c>
      <c r="C25" s="23">
        <v>4</v>
      </c>
      <c r="D25" s="17">
        <f t="shared" si="0"/>
        <v>10.4</v>
      </c>
      <c r="E25" s="17">
        <f t="shared" si="1"/>
        <v>46.800000000000004</v>
      </c>
      <c r="F25" s="367"/>
    </row>
    <row r="26" spans="1:6" x14ac:dyDescent="0.4">
      <c r="A26" s="13" t="s">
        <v>278</v>
      </c>
      <c r="B26" s="24">
        <v>11.600000000000001</v>
      </c>
      <c r="C26" s="24">
        <v>6.5</v>
      </c>
      <c r="D26" s="18">
        <f t="shared" si="0"/>
        <v>75.400000000000006</v>
      </c>
      <c r="E26" s="18">
        <f t="shared" si="1"/>
        <v>339.3</v>
      </c>
      <c r="F26" s="368">
        <f>+E26+E27+E28</f>
        <v>533.25</v>
      </c>
    </row>
    <row r="27" spans="1:6" x14ac:dyDescent="0.4">
      <c r="A27" s="11" t="s">
        <v>280</v>
      </c>
      <c r="B27" s="25">
        <v>6.8</v>
      </c>
      <c r="C27" s="25">
        <v>5</v>
      </c>
      <c r="D27" s="19">
        <f t="shared" si="0"/>
        <v>34</v>
      </c>
      <c r="E27" s="19">
        <f t="shared" si="1"/>
        <v>153</v>
      </c>
      <c r="F27" s="369"/>
    </row>
    <row r="28" spans="1:6" x14ac:dyDescent="0.4">
      <c r="A28" s="12" t="s">
        <v>281</v>
      </c>
      <c r="B28" s="26">
        <v>2.6</v>
      </c>
      <c r="C28" s="26">
        <v>3.5</v>
      </c>
      <c r="D28" s="20">
        <f t="shared" si="0"/>
        <v>9.1</v>
      </c>
      <c r="E28" s="20">
        <f t="shared" si="1"/>
        <v>40.949999999999996</v>
      </c>
      <c r="F28" s="370"/>
    </row>
    <row r="29" spans="1:6" x14ac:dyDescent="0.4">
      <c r="A29" s="376" t="s">
        <v>116</v>
      </c>
      <c r="B29" s="377"/>
      <c r="C29" s="378"/>
      <c r="D29" s="252">
        <f>SUM(D21:D28)</f>
        <v>651.1</v>
      </c>
      <c r="E29" s="252">
        <f>SUM(E21:E28)</f>
        <v>2929.9500000000003</v>
      </c>
      <c r="F29" s="98"/>
    </row>
    <row r="30" spans="1:6" x14ac:dyDescent="0.4">
      <c r="A30" s="251" t="s">
        <v>283</v>
      </c>
      <c r="B30" s="251">
        <v>4.5</v>
      </c>
      <c r="C30" s="96"/>
      <c r="D30" s="96"/>
      <c r="E30" s="96"/>
      <c r="F30" s="96"/>
    </row>
  </sheetData>
  <mergeCells count="12">
    <mergeCell ref="A29:C29"/>
    <mergeCell ref="A18:F18"/>
    <mergeCell ref="A3:F3"/>
    <mergeCell ref="A13:F13"/>
    <mergeCell ref="A15:F15"/>
    <mergeCell ref="F21:F25"/>
    <mergeCell ref="F26:F28"/>
    <mergeCell ref="E5:F5"/>
    <mergeCell ref="A5:A6"/>
    <mergeCell ref="B5:B6"/>
    <mergeCell ref="C5:C6"/>
    <mergeCell ref="D5:D6"/>
  </mergeCells>
  <phoneticPr fontId="0" type="noConversion"/>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110" zoomScaleNormal="110" workbookViewId="0">
      <selection activeCell="D10" sqref="D10"/>
    </sheetView>
  </sheetViews>
  <sheetFormatPr baseColWidth="10" defaultRowHeight="14.6" x14ac:dyDescent="0.4"/>
  <cols>
    <col min="1" max="1" width="30.53515625" customWidth="1"/>
    <col min="2" max="2" width="8" customWidth="1"/>
    <col min="3" max="4" width="7.3828125" customWidth="1"/>
    <col min="5" max="6" width="7.84375" customWidth="1"/>
    <col min="7" max="7" width="9.84375" customWidth="1"/>
    <col min="8" max="8" width="6.3046875" customWidth="1"/>
    <col min="9" max="9" width="7.3046875" customWidth="1"/>
    <col min="10" max="10" width="6.84375" customWidth="1"/>
    <col min="11" max="11" width="10.15234375" customWidth="1"/>
  </cols>
  <sheetData>
    <row r="1" spans="1:12" ht="28.3" x14ac:dyDescent="0.75">
      <c r="A1" s="214" t="s">
        <v>218</v>
      </c>
    </row>
    <row r="2" spans="1:12" ht="20.6" x14ac:dyDescent="0.55000000000000004">
      <c r="A2" s="215"/>
    </row>
    <row r="3" spans="1:12" ht="108" customHeight="1" x14ac:dyDescent="0.4">
      <c r="A3" s="344" t="s">
        <v>219</v>
      </c>
      <c r="B3" s="345"/>
      <c r="C3" s="345"/>
      <c r="D3" s="345"/>
      <c r="E3" s="345"/>
      <c r="F3" s="345"/>
      <c r="G3" s="345"/>
      <c r="H3" s="345"/>
      <c r="I3" s="345"/>
      <c r="J3" s="345"/>
      <c r="K3" s="346"/>
    </row>
    <row r="4" spans="1:12" x14ac:dyDescent="0.4">
      <c r="C4" s="404"/>
      <c r="D4" s="404"/>
    </row>
    <row r="5" spans="1:12" x14ac:dyDescent="0.4">
      <c r="A5" s="3"/>
      <c r="B5" s="396" t="s">
        <v>215</v>
      </c>
      <c r="C5" s="371" t="s">
        <v>17</v>
      </c>
      <c r="D5" s="371"/>
      <c r="E5" s="405" t="s">
        <v>18</v>
      </c>
      <c r="F5" s="406"/>
      <c r="G5" s="396" t="s">
        <v>216</v>
      </c>
      <c r="H5" s="396" t="s">
        <v>19</v>
      </c>
      <c r="I5" s="396" t="s">
        <v>20</v>
      </c>
      <c r="J5" s="396" t="s">
        <v>19</v>
      </c>
      <c r="K5" s="396" t="s">
        <v>217</v>
      </c>
    </row>
    <row r="6" spans="1:12" ht="33" customHeight="1" x14ac:dyDescent="0.4">
      <c r="A6" s="5" t="s">
        <v>156</v>
      </c>
      <c r="B6" s="397"/>
      <c r="C6" s="220">
        <v>40909</v>
      </c>
      <c r="D6" s="220">
        <v>41274</v>
      </c>
      <c r="E6" s="220">
        <v>40909</v>
      </c>
      <c r="F6" s="220">
        <v>41274</v>
      </c>
      <c r="G6" s="397"/>
      <c r="H6" s="397"/>
      <c r="I6" s="397"/>
      <c r="J6" s="397"/>
      <c r="K6" s="397"/>
    </row>
    <row r="7" spans="1:12" x14ac:dyDescent="0.4">
      <c r="A7" s="6" t="s">
        <v>9</v>
      </c>
      <c r="B7" s="15">
        <v>700</v>
      </c>
      <c r="C7" s="15">
        <v>15</v>
      </c>
      <c r="D7" s="15">
        <v>15</v>
      </c>
      <c r="E7" s="15">
        <f>+B7*C7</f>
        <v>10500</v>
      </c>
      <c r="F7" s="15">
        <f>+B7*D7</f>
        <v>10500</v>
      </c>
      <c r="G7" s="15">
        <f>+F7-E7</f>
        <v>0</v>
      </c>
      <c r="H7" s="21">
        <v>1</v>
      </c>
      <c r="I7" s="21">
        <f>+(C7+D7)/2*H7</f>
        <v>15</v>
      </c>
      <c r="J7" s="398">
        <f>SUM(I7:I11)</f>
        <v>26.200000000000003</v>
      </c>
      <c r="K7" s="398">
        <f>+(J7)/(J7+J12)*100</f>
        <v>75.942028985507264</v>
      </c>
      <c r="L7" s="67"/>
    </row>
    <row r="8" spans="1:12" x14ac:dyDescent="0.4">
      <c r="A8" s="7" t="s">
        <v>10</v>
      </c>
      <c r="B8" s="16">
        <v>1000</v>
      </c>
      <c r="C8" s="16">
        <v>3</v>
      </c>
      <c r="D8" s="16">
        <v>3</v>
      </c>
      <c r="E8" s="16">
        <f t="shared" ref="E8:E14" si="0">+B8*C8</f>
        <v>3000</v>
      </c>
      <c r="F8" s="16">
        <f t="shared" ref="F8:F14" si="1">+B8*D8</f>
        <v>3000</v>
      </c>
      <c r="G8" s="16">
        <f t="shared" ref="G8:G14" si="2">+F8-E8</f>
        <v>0</v>
      </c>
      <c r="H8" s="22">
        <v>1</v>
      </c>
      <c r="I8" s="22">
        <f t="shared" ref="I8:I14" si="3">+(C8+D8)/2*H8</f>
        <v>3</v>
      </c>
      <c r="J8" s="399"/>
      <c r="K8" s="399"/>
      <c r="L8" s="67"/>
    </row>
    <row r="9" spans="1:12" x14ac:dyDescent="0.4">
      <c r="A9" s="7" t="s">
        <v>11</v>
      </c>
      <c r="B9" s="16">
        <v>700</v>
      </c>
      <c r="C9" s="16">
        <v>6</v>
      </c>
      <c r="D9" s="16">
        <v>6</v>
      </c>
      <c r="E9" s="16">
        <f t="shared" si="0"/>
        <v>4200</v>
      </c>
      <c r="F9" s="16">
        <f t="shared" si="1"/>
        <v>4200</v>
      </c>
      <c r="G9" s="16">
        <f t="shared" si="2"/>
        <v>0</v>
      </c>
      <c r="H9" s="22">
        <v>0.6</v>
      </c>
      <c r="I9" s="22">
        <f t="shared" si="3"/>
        <v>3.5999999999999996</v>
      </c>
      <c r="J9" s="399"/>
      <c r="K9" s="399"/>
      <c r="L9" s="67"/>
    </row>
    <row r="10" spans="1:12" x14ac:dyDescent="0.4">
      <c r="A10" s="7" t="s">
        <v>154</v>
      </c>
      <c r="B10" s="16">
        <v>650</v>
      </c>
      <c r="C10" s="16">
        <v>5</v>
      </c>
      <c r="D10" s="16">
        <v>5</v>
      </c>
      <c r="E10" s="16">
        <f t="shared" si="0"/>
        <v>3250</v>
      </c>
      <c r="F10" s="16">
        <f t="shared" si="1"/>
        <v>3250</v>
      </c>
      <c r="G10" s="16">
        <f t="shared" si="2"/>
        <v>0</v>
      </c>
      <c r="H10" s="22">
        <v>0.6</v>
      </c>
      <c r="I10" s="22">
        <f t="shared" si="3"/>
        <v>3</v>
      </c>
      <c r="J10" s="399"/>
      <c r="K10" s="399"/>
      <c r="L10" s="67"/>
    </row>
    <row r="11" spans="1:12" x14ac:dyDescent="0.4">
      <c r="A11" s="8" t="s">
        <v>13</v>
      </c>
      <c r="B11" s="17">
        <v>450</v>
      </c>
      <c r="C11" s="17">
        <v>4</v>
      </c>
      <c r="D11" s="17">
        <v>4</v>
      </c>
      <c r="E11" s="17">
        <f t="shared" si="0"/>
        <v>1800</v>
      </c>
      <c r="F11" s="17">
        <f t="shared" si="1"/>
        <v>1800</v>
      </c>
      <c r="G11" s="17">
        <f t="shared" si="2"/>
        <v>0</v>
      </c>
      <c r="H11" s="23">
        <v>0.4</v>
      </c>
      <c r="I11" s="23">
        <f t="shared" si="3"/>
        <v>1.6</v>
      </c>
      <c r="J11" s="400"/>
      <c r="K11" s="400"/>
      <c r="L11" s="67"/>
    </row>
    <row r="12" spans="1:12" x14ac:dyDescent="0.4">
      <c r="A12" s="13" t="s">
        <v>14</v>
      </c>
      <c r="B12" s="18">
        <v>800</v>
      </c>
      <c r="C12" s="18">
        <v>8</v>
      </c>
      <c r="D12" s="18">
        <v>5</v>
      </c>
      <c r="E12" s="18">
        <f t="shared" si="0"/>
        <v>6400</v>
      </c>
      <c r="F12" s="18">
        <f t="shared" si="1"/>
        <v>4000</v>
      </c>
      <c r="G12" s="18">
        <f t="shared" si="2"/>
        <v>-2400</v>
      </c>
      <c r="H12" s="24">
        <v>0.6</v>
      </c>
      <c r="I12" s="24">
        <f t="shared" si="3"/>
        <v>3.9</v>
      </c>
      <c r="J12" s="401">
        <f>SUM(I12:I14)</f>
        <v>8.3000000000000007</v>
      </c>
      <c r="K12" s="401">
        <f>+J12/(J7+J12)*100</f>
        <v>24.057971014492754</v>
      </c>
      <c r="L12" s="67"/>
    </row>
    <row r="13" spans="1:12" x14ac:dyDescent="0.4">
      <c r="A13" s="11" t="s">
        <v>155</v>
      </c>
      <c r="B13" s="19">
        <v>650</v>
      </c>
      <c r="C13" s="19">
        <v>4</v>
      </c>
      <c r="D13" s="19">
        <v>6</v>
      </c>
      <c r="E13" s="19">
        <f t="shared" si="0"/>
        <v>2600</v>
      </c>
      <c r="F13" s="19">
        <f t="shared" si="1"/>
        <v>3900</v>
      </c>
      <c r="G13" s="19">
        <f t="shared" si="2"/>
        <v>1300</v>
      </c>
      <c r="H13" s="25">
        <v>0.6</v>
      </c>
      <c r="I13" s="25">
        <f t="shared" si="3"/>
        <v>3</v>
      </c>
      <c r="J13" s="402"/>
      <c r="K13" s="402"/>
      <c r="L13" s="67"/>
    </row>
    <row r="14" spans="1:12" x14ac:dyDescent="0.4">
      <c r="A14" s="12" t="s">
        <v>16</v>
      </c>
      <c r="B14" s="20">
        <v>450</v>
      </c>
      <c r="C14" s="20">
        <v>4</v>
      </c>
      <c r="D14" s="20">
        <v>3</v>
      </c>
      <c r="E14" s="20">
        <f t="shared" si="0"/>
        <v>1800</v>
      </c>
      <c r="F14" s="20">
        <f t="shared" si="1"/>
        <v>1350</v>
      </c>
      <c r="G14" s="20">
        <f t="shared" si="2"/>
        <v>-450</v>
      </c>
      <c r="H14" s="26">
        <v>0.4</v>
      </c>
      <c r="I14" s="26">
        <f t="shared" si="3"/>
        <v>1.4000000000000001</v>
      </c>
      <c r="J14" s="403"/>
      <c r="K14" s="403"/>
      <c r="L14" s="67"/>
    </row>
    <row r="15" spans="1:12" x14ac:dyDescent="0.4">
      <c r="A15" s="394" t="s">
        <v>116</v>
      </c>
      <c r="B15" s="395"/>
      <c r="C15" s="395"/>
      <c r="D15" s="395"/>
      <c r="E15" s="285">
        <f>+SUM(E7:E14)</f>
        <v>33550</v>
      </c>
      <c r="F15" s="285">
        <f>SUM(F7:F14)</f>
        <v>32000</v>
      </c>
      <c r="G15" s="254">
        <f>SUM(G7:G14)</f>
        <v>-1550</v>
      </c>
      <c r="H15" s="382"/>
      <c r="I15" s="382"/>
      <c r="J15" s="222">
        <f>+J7+J12</f>
        <v>34.5</v>
      </c>
      <c r="K15" s="221"/>
    </row>
    <row r="16" spans="1:12" s="323" customFormat="1" x14ac:dyDescent="0.4">
      <c r="A16" s="393" t="s">
        <v>365</v>
      </c>
      <c r="B16" s="393"/>
      <c r="C16" s="393"/>
      <c r="D16" s="393"/>
      <c r="E16" s="321">
        <f>SUM(E7:E11)</f>
        <v>22750</v>
      </c>
      <c r="F16" s="321">
        <f>SUM(F7:F11)</f>
        <v>22750</v>
      </c>
      <c r="G16" s="322"/>
      <c r="H16" s="322"/>
      <c r="I16" s="322"/>
      <c r="J16" s="322"/>
    </row>
    <row r="17" spans="1:10" s="323" customFormat="1" x14ac:dyDescent="0.4">
      <c r="A17" s="385" t="s">
        <v>366</v>
      </c>
      <c r="B17" s="386"/>
      <c r="C17" s="386"/>
      <c r="D17" s="387"/>
      <c r="E17" s="324">
        <f>+SUM(E12:E14)</f>
        <v>10800</v>
      </c>
      <c r="F17" s="324">
        <f>+SUM(F12:F14)</f>
        <v>9250</v>
      </c>
      <c r="G17" s="322"/>
      <c r="H17" s="322"/>
      <c r="I17" s="322"/>
      <c r="J17" s="322"/>
    </row>
    <row r="18" spans="1:10" s="323" customFormat="1" x14ac:dyDescent="0.4">
      <c r="A18" s="388" t="s">
        <v>7</v>
      </c>
      <c r="B18" s="389"/>
      <c r="C18" s="389"/>
      <c r="D18" s="390"/>
      <c r="E18" s="383">
        <f>+(E16+F16)/2</f>
        <v>22750</v>
      </c>
      <c r="F18" s="383"/>
      <c r="G18" s="322"/>
      <c r="H18" s="322"/>
      <c r="I18" s="322"/>
      <c r="J18" s="322"/>
    </row>
    <row r="19" spans="1:10" s="323" customFormat="1" x14ac:dyDescent="0.4">
      <c r="A19" s="385" t="s">
        <v>8</v>
      </c>
      <c r="B19" s="391"/>
      <c r="C19" s="391"/>
      <c r="D19" s="392"/>
      <c r="E19" s="384">
        <f>+(E17+F17)/2</f>
        <v>10025</v>
      </c>
      <c r="F19" s="384"/>
      <c r="G19" s="322"/>
      <c r="H19" s="322"/>
      <c r="I19" s="322"/>
      <c r="J19" s="322"/>
    </row>
    <row r="20" spans="1:10" x14ac:dyDescent="0.4">
      <c r="B20" s="1"/>
      <c r="C20" s="1"/>
      <c r="D20" s="1"/>
      <c r="E20" s="1"/>
      <c r="F20" s="1"/>
      <c r="G20" s="1"/>
      <c r="H20" s="1"/>
      <c r="I20" s="1"/>
      <c r="J20" s="1"/>
    </row>
    <row r="21" spans="1:10" x14ac:dyDescent="0.4">
      <c r="B21" s="1"/>
      <c r="C21" s="1"/>
      <c r="D21" s="1"/>
      <c r="E21" s="1"/>
      <c r="F21" s="1"/>
      <c r="G21" s="1"/>
      <c r="H21" s="1"/>
      <c r="I21" s="1"/>
      <c r="J21" s="1"/>
    </row>
    <row r="22" spans="1:10" x14ac:dyDescent="0.4">
      <c r="B22" s="1"/>
      <c r="C22" s="1"/>
      <c r="D22" s="1"/>
      <c r="E22" s="1"/>
      <c r="F22" s="1"/>
      <c r="G22" s="1"/>
      <c r="H22" s="1"/>
      <c r="I22" s="1"/>
      <c r="J22" s="1"/>
    </row>
    <row r="23" spans="1:10" x14ac:dyDescent="0.4">
      <c r="B23" s="1"/>
      <c r="C23" s="1"/>
      <c r="D23" s="1"/>
      <c r="E23" s="1"/>
      <c r="F23" s="1"/>
      <c r="G23" s="1"/>
      <c r="H23" s="1"/>
      <c r="I23" s="1"/>
      <c r="J23" s="1"/>
    </row>
    <row r="24" spans="1:10" x14ac:dyDescent="0.4">
      <c r="B24" s="1"/>
      <c r="C24" s="1"/>
      <c r="D24" s="1"/>
      <c r="E24" s="1"/>
      <c r="F24" s="1"/>
      <c r="G24" s="1"/>
      <c r="H24" s="1"/>
      <c r="I24" s="1"/>
      <c r="J24" s="1"/>
    </row>
    <row r="25" spans="1:10" x14ac:dyDescent="0.4">
      <c r="B25" s="1"/>
      <c r="C25" s="1"/>
      <c r="D25" s="1"/>
      <c r="E25" s="1"/>
      <c r="F25" s="1"/>
      <c r="G25" s="1"/>
      <c r="H25" s="1"/>
      <c r="I25" s="1"/>
      <c r="J25" s="1"/>
    </row>
    <row r="26" spans="1:10" x14ac:dyDescent="0.4">
      <c r="B26" s="1"/>
      <c r="C26" s="1"/>
      <c r="D26" s="1"/>
      <c r="E26" s="1"/>
      <c r="F26" s="1"/>
      <c r="G26" s="1"/>
      <c r="H26" s="1"/>
      <c r="I26" s="1"/>
      <c r="J26" s="1"/>
    </row>
    <row r="27" spans="1:10" x14ac:dyDescent="0.4">
      <c r="B27" s="1">
        <v>7450</v>
      </c>
      <c r="C27" s="1">
        <v>5</v>
      </c>
      <c r="D27" s="1">
        <f>+B27/C27</f>
        <v>1490</v>
      </c>
      <c r="E27" s="1"/>
      <c r="F27" s="1"/>
      <c r="G27" s="1"/>
      <c r="H27" s="1"/>
      <c r="I27" s="1"/>
      <c r="J27" s="1"/>
    </row>
    <row r="28" spans="1:10" x14ac:dyDescent="0.4">
      <c r="B28" s="1"/>
      <c r="C28" s="1"/>
      <c r="D28" s="1"/>
      <c r="E28" s="1"/>
      <c r="F28" s="1"/>
      <c r="G28" s="1"/>
      <c r="H28" s="1"/>
      <c r="I28" s="1"/>
      <c r="J28" s="1"/>
    </row>
    <row r="29" spans="1:10" x14ac:dyDescent="0.4">
      <c r="A29" s="6" t="s">
        <v>9</v>
      </c>
      <c r="B29" s="1">
        <f>+B7*C7</f>
        <v>10500</v>
      </c>
      <c r="C29" s="1"/>
      <c r="D29" s="1"/>
      <c r="E29" s="1"/>
      <c r="F29" s="1"/>
      <c r="G29" s="1"/>
      <c r="H29" s="1"/>
      <c r="I29" s="1"/>
      <c r="J29" s="1"/>
    </row>
    <row r="30" spans="1:10" x14ac:dyDescent="0.4">
      <c r="A30" s="7" t="s">
        <v>10</v>
      </c>
      <c r="B30" s="1">
        <f t="shared" ref="B30:B36" si="4">+B8*C8</f>
        <v>3000</v>
      </c>
      <c r="C30" s="1"/>
      <c r="D30" s="1"/>
      <c r="E30" s="1"/>
      <c r="F30" s="1"/>
      <c r="G30" s="1"/>
      <c r="H30" s="1"/>
      <c r="I30" s="1"/>
      <c r="J30" s="1"/>
    </row>
    <row r="31" spans="1:10" x14ac:dyDescent="0.4">
      <c r="A31" s="7" t="s">
        <v>11</v>
      </c>
      <c r="B31" s="1">
        <f t="shared" si="4"/>
        <v>4200</v>
      </c>
      <c r="E31" s="1"/>
      <c r="F31" s="1"/>
      <c r="G31" s="1"/>
      <c r="H31" s="1"/>
      <c r="I31" s="1"/>
      <c r="J31" s="1"/>
    </row>
    <row r="32" spans="1:10" x14ac:dyDescent="0.4">
      <c r="A32" s="7" t="s">
        <v>12</v>
      </c>
      <c r="B32" s="1">
        <f t="shared" si="4"/>
        <v>3250</v>
      </c>
    </row>
    <row r="33" spans="1:4" x14ac:dyDescent="0.4">
      <c r="A33" s="8" t="s">
        <v>13</v>
      </c>
      <c r="B33" s="1">
        <f t="shared" si="4"/>
        <v>1800</v>
      </c>
      <c r="C33" s="1">
        <f>+B29+B30+B31+B32+B33</f>
        <v>22750</v>
      </c>
      <c r="D33">
        <f>+C33*0.035</f>
        <v>796.25000000000011</v>
      </c>
    </row>
    <row r="34" spans="1:4" x14ac:dyDescent="0.4">
      <c r="A34" s="13" t="s">
        <v>14</v>
      </c>
      <c r="B34" s="1">
        <f t="shared" si="4"/>
        <v>6400</v>
      </c>
    </row>
    <row r="35" spans="1:4" x14ac:dyDescent="0.4">
      <c r="A35" s="11" t="s">
        <v>15</v>
      </c>
      <c r="B35" s="1">
        <f t="shared" si="4"/>
        <v>2600</v>
      </c>
    </row>
    <row r="36" spans="1:4" x14ac:dyDescent="0.4">
      <c r="A36" s="12" t="s">
        <v>16</v>
      </c>
      <c r="B36" s="1">
        <f t="shared" si="4"/>
        <v>1800</v>
      </c>
      <c r="C36" s="1">
        <f>+B34+B35+B36</f>
        <v>10800</v>
      </c>
      <c r="D36">
        <f>+C36*0.035</f>
        <v>378.00000000000006</v>
      </c>
    </row>
  </sheetData>
  <mergeCells count="22">
    <mergeCell ref="A3:K3"/>
    <mergeCell ref="A16:D16"/>
    <mergeCell ref="A15:D15"/>
    <mergeCell ref="B5:B6"/>
    <mergeCell ref="J5:J6"/>
    <mergeCell ref="J7:J11"/>
    <mergeCell ref="J12:J14"/>
    <mergeCell ref="K5:K6"/>
    <mergeCell ref="I5:I6"/>
    <mergeCell ref="C4:D4"/>
    <mergeCell ref="C5:D5"/>
    <mergeCell ref="E5:F5"/>
    <mergeCell ref="G5:G6"/>
    <mergeCell ref="H5:H6"/>
    <mergeCell ref="K7:K11"/>
    <mergeCell ref="K12:K14"/>
    <mergeCell ref="H15:I15"/>
    <mergeCell ref="E18:F18"/>
    <mergeCell ref="E19:F19"/>
    <mergeCell ref="A17:D17"/>
    <mergeCell ref="A18:D18"/>
    <mergeCell ref="A19:D19"/>
  </mergeCells>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13" zoomScale="110" zoomScaleNormal="110" workbookViewId="0"/>
  </sheetViews>
  <sheetFormatPr baseColWidth="10" defaultRowHeight="14.6" x14ac:dyDescent="0.4"/>
  <cols>
    <col min="1" max="1" width="40.15234375" customWidth="1"/>
    <col min="2" max="2" width="7.69140625" customWidth="1"/>
    <col min="3" max="3" width="7" customWidth="1"/>
    <col min="4" max="6" width="8.3828125" customWidth="1"/>
    <col min="7" max="7" width="8.3046875" customWidth="1"/>
    <col min="8" max="8" width="7.15234375" customWidth="1"/>
    <col min="9" max="10" width="9.53515625" customWidth="1"/>
    <col min="11" max="11" width="9.3046875" customWidth="1"/>
  </cols>
  <sheetData>
    <row r="1" spans="1:12" ht="28.3" x14ac:dyDescent="0.75">
      <c r="A1" s="214" t="s">
        <v>295</v>
      </c>
    </row>
    <row r="3" spans="1:12" ht="147" customHeight="1" x14ac:dyDescent="0.4">
      <c r="A3" s="344" t="s">
        <v>298</v>
      </c>
      <c r="B3" s="345"/>
      <c r="C3" s="345"/>
      <c r="D3" s="345"/>
      <c r="E3" s="345"/>
      <c r="F3" s="345"/>
      <c r="G3" s="345"/>
      <c r="H3" s="345"/>
      <c r="I3" s="345"/>
      <c r="J3" s="345"/>
      <c r="K3" s="346"/>
    </row>
    <row r="5" spans="1:12" ht="15" customHeight="1" x14ac:dyDescent="0.4">
      <c r="A5" s="412" t="s">
        <v>110</v>
      </c>
      <c r="B5" s="374" t="s">
        <v>34</v>
      </c>
      <c r="C5" s="374" t="s">
        <v>109</v>
      </c>
      <c r="D5" s="374"/>
      <c r="E5" s="374"/>
      <c r="F5" s="374" t="s">
        <v>108</v>
      </c>
      <c r="G5" s="374"/>
      <c r="H5" s="374"/>
      <c r="I5" s="374" t="s">
        <v>107</v>
      </c>
      <c r="J5" s="414" t="s">
        <v>111</v>
      </c>
      <c r="K5" s="415"/>
    </row>
    <row r="6" spans="1:12" x14ac:dyDescent="0.4">
      <c r="A6" s="413"/>
      <c r="B6" s="375"/>
      <c r="C6" s="78" t="s">
        <v>98</v>
      </c>
      <c r="D6" s="78" t="s">
        <v>99</v>
      </c>
      <c r="E6" s="78" t="s">
        <v>100</v>
      </c>
      <c r="F6" s="78" t="s">
        <v>98</v>
      </c>
      <c r="G6" s="78" t="s">
        <v>99</v>
      </c>
      <c r="H6" s="78" t="s">
        <v>100</v>
      </c>
      <c r="I6" s="375"/>
      <c r="J6" s="78" t="s">
        <v>112</v>
      </c>
      <c r="K6" s="14" t="s">
        <v>293</v>
      </c>
    </row>
    <row r="7" spans="1:12" x14ac:dyDescent="0.4">
      <c r="A7" s="68" t="s">
        <v>102</v>
      </c>
      <c r="B7" s="69">
        <f>+BETRIEB!B9</f>
        <v>1.5</v>
      </c>
      <c r="C7" s="79">
        <v>132</v>
      </c>
      <c r="D7" s="79">
        <v>38</v>
      </c>
      <c r="E7" s="79">
        <v>51</v>
      </c>
      <c r="F7" s="79">
        <f t="shared" ref="F7:F12" si="0">+C7*B7*$B$16</f>
        <v>178.20000000000002</v>
      </c>
      <c r="G7" s="79">
        <f t="shared" ref="G7:G12" si="1">+D7*B7*$B$17</f>
        <v>27.93</v>
      </c>
      <c r="H7" s="79">
        <f t="shared" ref="H7:H12" si="2">+E7*B7*$B$18</f>
        <v>32.894999999999996</v>
      </c>
      <c r="I7" s="79">
        <f t="shared" ref="I7:I12" si="3">+F7+G7+H7</f>
        <v>239.02500000000003</v>
      </c>
      <c r="J7" s="86">
        <f t="shared" ref="J7:J12" si="4">+I7/$I$13*100</f>
        <v>4.5131265851525182</v>
      </c>
      <c r="K7" s="416">
        <f>+J7+J8</f>
        <v>7.0061794101167498</v>
      </c>
      <c r="L7" t="s">
        <v>88</v>
      </c>
    </row>
    <row r="8" spans="1:12" x14ac:dyDescent="0.4">
      <c r="A8" s="11" t="s">
        <v>81</v>
      </c>
      <c r="B8" s="70">
        <f>+BETRIEB!B10</f>
        <v>1.25</v>
      </c>
      <c r="C8" s="80">
        <v>82</v>
      </c>
      <c r="D8" s="80">
        <v>36</v>
      </c>
      <c r="E8" s="80">
        <v>33</v>
      </c>
      <c r="F8" s="80">
        <f t="shared" si="0"/>
        <v>92.25</v>
      </c>
      <c r="G8" s="80">
        <f t="shared" si="1"/>
        <v>22.05</v>
      </c>
      <c r="H8" s="80">
        <f t="shared" si="2"/>
        <v>17.737500000000001</v>
      </c>
      <c r="I8" s="80">
        <f t="shared" si="3"/>
        <v>132.03749999999999</v>
      </c>
      <c r="J8" s="87">
        <f t="shared" si="4"/>
        <v>2.4930528249642316</v>
      </c>
      <c r="K8" s="417"/>
      <c r="L8" t="s">
        <v>88</v>
      </c>
    </row>
    <row r="9" spans="1:12" x14ac:dyDescent="0.4">
      <c r="A9" s="73" t="s">
        <v>103</v>
      </c>
      <c r="B9" s="74">
        <f>+BETRIEB!B8</f>
        <v>2.25</v>
      </c>
      <c r="C9" s="81">
        <v>192</v>
      </c>
      <c r="D9" s="81">
        <v>80</v>
      </c>
      <c r="E9" s="81">
        <v>194</v>
      </c>
      <c r="F9" s="81">
        <f t="shared" si="0"/>
        <v>388.8</v>
      </c>
      <c r="G9" s="81">
        <f t="shared" si="1"/>
        <v>88.2</v>
      </c>
      <c r="H9" s="81">
        <f t="shared" si="2"/>
        <v>187.69499999999999</v>
      </c>
      <c r="I9" s="81">
        <f t="shared" si="3"/>
        <v>664.69499999999994</v>
      </c>
      <c r="J9" s="88">
        <f t="shared" si="4"/>
        <v>12.550372034381141</v>
      </c>
      <c r="K9" s="92">
        <f>+J9</f>
        <v>12.550372034381141</v>
      </c>
      <c r="L9" t="s">
        <v>223</v>
      </c>
    </row>
    <row r="10" spans="1:12" x14ac:dyDescent="0.4">
      <c r="A10" s="71" t="s">
        <v>104</v>
      </c>
      <c r="B10" s="72">
        <f>+BETRIEB!B11</f>
        <v>2</v>
      </c>
      <c r="C10" s="82">
        <v>-29</v>
      </c>
      <c r="D10" s="82">
        <v>61</v>
      </c>
      <c r="E10" s="82">
        <v>193</v>
      </c>
      <c r="F10" s="82">
        <f t="shared" si="0"/>
        <v>-52.2</v>
      </c>
      <c r="G10" s="82">
        <f t="shared" si="1"/>
        <v>59.78</v>
      </c>
      <c r="H10" s="82">
        <f t="shared" si="2"/>
        <v>165.98</v>
      </c>
      <c r="I10" s="82">
        <f t="shared" si="3"/>
        <v>173.56</v>
      </c>
      <c r="J10" s="89">
        <f t="shared" si="4"/>
        <v>3.2770557478049196</v>
      </c>
      <c r="K10" s="418">
        <f>+J10+J11+J12</f>
        <v>80.443448555502115</v>
      </c>
      <c r="L10" t="s">
        <v>86</v>
      </c>
    </row>
    <row r="11" spans="1:12" x14ac:dyDescent="0.4">
      <c r="A11" s="71" t="s">
        <v>105</v>
      </c>
      <c r="B11" s="72">
        <f>+BETRIEB!B13</f>
        <v>10</v>
      </c>
      <c r="C11" s="82">
        <v>145</v>
      </c>
      <c r="D11" s="82">
        <v>87</v>
      </c>
      <c r="E11" s="82">
        <v>231</v>
      </c>
      <c r="F11" s="82">
        <f t="shared" si="0"/>
        <v>1305</v>
      </c>
      <c r="G11" s="82">
        <f t="shared" si="1"/>
        <v>426.3</v>
      </c>
      <c r="H11" s="82">
        <f t="shared" si="2"/>
        <v>993.3</v>
      </c>
      <c r="I11" s="82">
        <f t="shared" si="3"/>
        <v>2724.6</v>
      </c>
      <c r="J11" s="89">
        <f t="shared" si="4"/>
        <v>51.444261871798126</v>
      </c>
      <c r="K11" s="418"/>
      <c r="L11" t="s">
        <v>86</v>
      </c>
    </row>
    <row r="12" spans="1:12" x14ac:dyDescent="0.4">
      <c r="A12" s="75" t="s">
        <v>106</v>
      </c>
      <c r="B12" s="76">
        <f>+BETRIEB!B14</f>
        <v>5</v>
      </c>
      <c r="C12" s="83">
        <v>145</v>
      </c>
      <c r="D12" s="83">
        <v>87</v>
      </c>
      <c r="E12" s="83">
        <v>231</v>
      </c>
      <c r="F12" s="83">
        <f t="shared" si="0"/>
        <v>652.5</v>
      </c>
      <c r="G12" s="83">
        <f t="shared" si="1"/>
        <v>213.15</v>
      </c>
      <c r="H12" s="83">
        <f t="shared" si="2"/>
        <v>496.65</v>
      </c>
      <c r="I12" s="83">
        <f t="shared" si="3"/>
        <v>1362.3</v>
      </c>
      <c r="J12" s="90">
        <f t="shared" si="4"/>
        <v>25.722130935899063</v>
      </c>
      <c r="K12" s="419"/>
      <c r="L12" t="s">
        <v>86</v>
      </c>
    </row>
    <row r="13" spans="1:12" s="28" customFormat="1" x14ac:dyDescent="0.4">
      <c r="A13" s="46" t="s">
        <v>116</v>
      </c>
      <c r="B13" s="77">
        <f>SUM(B7:B12)</f>
        <v>22</v>
      </c>
      <c r="C13" s="407"/>
      <c r="D13" s="408"/>
      <c r="E13" s="409"/>
      <c r="F13" s="85">
        <f t="shared" ref="F13:K13" si="5">SUM(F7:F12)</f>
        <v>2564.5500000000002</v>
      </c>
      <c r="G13" s="85">
        <f t="shared" si="5"/>
        <v>837.41</v>
      </c>
      <c r="H13" s="85">
        <f t="shared" si="5"/>
        <v>1894.2575000000002</v>
      </c>
      <c r="I13" s="85">
        <f t="shared" si="5"/>
        <v>5296.2174999999997</v>
      </c>
      <c r="J13" s="91">
        <f t="shared" si="5"/>
        <v>100</v>
      </c>
      <c r="K13" s="91">
        <f t="shared" si="5"/>
        <v>100</v>
      </c>
    </row>
    <row r="15" spans="1:12" ht="15.9" x14ac:dyDescent="0.45">
      <c r="A15" s="257" t="s">
        <v>292</v>
      </c>
    </row>
    <row r="16" spans="1:12" x14ac:dyDescent="0.4">
      <c r="A16" s="255" t="s">
        <v>289</v>
      </c>
      <c r="B16" s="258">
        <v>0.9</v>
      </c>
    </row>
    <row r="17" spans="1:8" x14ac:dyDescent="0.4">
      <c r="A17" s="256" t="s">
        <v>290</v>
      </c>
      <c r="B17" s="7">
        <v>0.49</v>
      </c>
    </row>
    <row r="18" spans="1:8" x14ac:dyDescent="0.4">
      <c r="A18" s="97" t="s">
        <v>291</v>
      </c>
      <c r="B18" s="8">
        <v>0.43</v>
      </c>
    </row>
    <row r="20" spans="1:8" x14ac:dyDescent="0.4">
      <c r="A20" s="412" t="s">
        <v>33</v>
      </c>
      <c r="B20" s="410" t="s">
        <v>172</v>
      </c>
      <c r="C20" s="371" t="s">
        <v>169</v>
      </c>
      <c r="D20" s="371"/>
      <c r="E20" s="371"/>
      <c r="F20" s="396" t="s">
        <v>76</v>
      </c>
      <c r="G20" s="410" t="s">
        <v>77</v>
      </c>
      <c r="H20" s="410" t="s">
        <v>157</v>
      </c>
    </row>
    <row r="21" spans="1:8" s="190" customFormat="1" ht="29.15" x14ac:dyDescent="0.4">
      <c r="A21" s="413"/>
      <c r="B21" s="411"/>
      <c r="C21" s="14" t="s">
        <v>166</v>
      </c>
      <c r="D21" s="14" t="s">
        <v>167</v>
      </c>
      <c r="E21" s="14" t="s">
        <v>168</v>
      </c>
      <c r="F21" s="397"/>
      <c r="G21" s="411"/>
      <c r="H21" s="411"/>
    </row>
    <row r="22" spans="1:8" x14ac:dyDescent="0.4">
      <c r="A22" s="4" t="s">
        <v>158</v>
      </c>
      <c r="B22" s="192">
        <v>2.75</v>
      </c>
      <c r="C22" s="191">
        <v>2.25</v>
      </c>
      <c r="D22" s="191">
        <v>2</v>
      </c>
      <c r="E22" s="191">
        <v>15</v>
      </c>
      <c r="F22" s="191">
        <f t="shared" ref="F22:F27" si="6">SUM(B22:E22)</f>
        <v>22</v>
      </c>
      <c r="G22" s="192">
        <f t="shared" ref="G22:G27" si="7">+D22+E22</f>
        <v>17</v>
      </c>
      <c r="H22" s="192">
        <f t="shared" ref="H22:H27" si="8">+C22</f>
        <v>2.25</v>
      </c>
    </row>
    <row r="23" spans="1:8" x14ac:dyDescent="0.4">
      <c r="A23" s="4" t="s">
        <v>159</v>
      </c>
      <c r="B23" s="193">
        <f>+F7+F8</f>
        <v>270.45000000000005</v>
      </c>
      <c r="C23" s="101">
        <f>+F9</f>
        <v>388.8</v>
      </c>
      <c r="D23" s="101">
        <f>+F10</f>
        <v>-52.2</v>
      </c>
      <c r="E23" s="101">
        <f>+F11+F12</f>
        <v>1957.5</v>
      </c>
      <c r="F23" s="101">
        <f t="shared" si="6"/>
        <v>2564.5500000000002</v>
      </c>
      <c r="G23" s="193">
        <f t="shared" si="7"/>
        <v>1905.3</v>
      </c>
      <c r="H23" s="193">
        <f t="shared" si="8"/>
        <v>388.8</v>
      </c>
    </row>
    <row r="24" spans="1:8" x14ac:dyDescent="0.4">
      <c r="A24" s="4" t="s">
        <v>160</v>
      </c>
      <c r="B24" s="193">
        <f>+G7+G8</f>
        <v>49.980000000000004</v>
      </c>
      <c r="C24" s="101">
        <f>+G9</f>
        <v>88.2</v>
      </c>
      <c r="D24" s="101">
        <f>+G10</f>
        <v>59.78</v>
      </c>
      <c r="E24" s="101">
        <f>+G11+G12</f>
        <v>639.45000000000005</v>
      </c>
      <c r="F24" s="101">
        <f t="shared" si="6"/>
        <v>837.41000000000008</v>
      </c>
      <c r="G24" s="193">
        <f t="shared" si="7"/>
        <v>699.23</v>
      </c>
      <c r="H24" s="193">
        <f t="shared" si="8"/>
        <v>88.2</v>
      </c>
    </row>
    <row r="25" spans="1:8" x14ac:dyDescent="0.4">
      <c r="A25" s="4" t="s">
        <v>161</v>
      </c>
      <c r="B25" s="193">
        <f>+H7+H8</f>
        <v>50.632499999999993</v>
      </c>
      <c r="C25" s="101">
        <f>+H9</f>
        <v>187.69499999999999</v>
      </c>
      <c r="D25" s="101">
        <f>+H10</f>
        <v>165.98</v>
      </c>
      <c r="E25" s="101">
        <f>+H11+H12</f>
        <v>1489.9499999999998</v>
      </c>
      <c r="F25" s="101">
        <f t="shared" si="6"/>
        <v>1894.2574999999997</v>
      </c>
      <c r="G25" s="193">
        <f t="shared" si="7"/>
        <v>1655.9299999999998</v>
      </c>
      <c r="H25" s="193">
        <f t="shared" si="8"/>
        <v>187.69499999999999</v>
      </c>
    </row>
    <row r="26" spans="1:8" x14ac:dyDescent="0.4">
      <c r="A26" s="4" t="s">
        <v>162</v>
      </c>
      <c r="B26" s="193">
        <f>SUM(B23:B25)</f>
        <v>371.06250000000006</v>
      </c>
      <c r="C26" s="101">
        <f>SUM(C23:C25)</f>
        <v>664.69499999999994</v>
      </c>
      <c r="D26" s="101">
        <f>SUM(D23:D25)</f>
        <v>173.56</v>
      </c>
      <c r="E26" s="101">
        <f>SUM(E23:E25)</f>
        <v>4086.8999999999996</v>
      </c>
      <c r="F26" s="101">
        <f t="shared" si="6"/>
        <v>5296.2174999999997</v>
      </c>
      <c r="G26" s="193">
        <f t="shared" si="7"/>
        <v>4260.46</v>
      </c>
      <c r="H26" s="193">
        <f t="shared" si="8"/>
        <v>664.69499999999994</v>
      </c>
    </row>
    <row r="27" spans="1:8" x14ac:dyDescent="0.4">
      <c r="A27" s="31" t="s">
        <v>163</v>
      </c>
      <c r="B27" s="263">
        <f>+B26/$F$26*100</f>
        <v>7.0061794101167498</v>
      </c>
      <c r="C27" s="264">
        <f>+C26/$F$26*100</f>
        <v>12.550372034381141</v>
      </c>
      <c r="D27" s="264">
        <f>+D26/$F$26*100</f>
        <v>3.2770557478049196</v>
      </c>
      <c r="E27" s="264">
        <f>+E26/$F$26*100</f>
        <v>77.166392807697193</v>
      </c>
      <c r="F27" s="265">
        <f t="shared" si="6"/>
        <v>100</v>
      </c>
      <c r="G27" s="194">
        <f t="shared" si="7"/>
        <v>80.443448555502115</v>
      </c>
      <c r="H27" s="194">
        <f t="shared" si="8"/>
        <v>12.550372034381141</v>
      </c>
    </row>
    <row r="28" spans="1:8" x14ac:dyDescent="0.4">
      <c r="A28" s="48" t="s">
        <v>164</v>
      </c>
      <c r="B28" s="261">
        <f>+$B$30*B27/100</f>
        <v>57.100362192451513</v>
      </c>
      <c r="C28" s="63">
        <f t="shared" ref="C28:H28" si="9">+$B$30*C27/100</f>
        <v>102.28553208020631</v>
      </c>
      <c r="D28" s="63">
        <f t="shared" si="9"/>
        <v>26.708004344610096</v>
      </c>
      <c r="E28" s="63">
        <f t="shared" si="9"/>
        <v>628.90610138273212</v>
      </c>
      <c r="F28" s="63">
        <f t="shared" si="9"/>
        <v>815</v>
      </c>
      <c r="G28" s="261">
        <f t="shared" si="9"/>
        <v>655.61410572734223</v>
      </c>
      <c r="H28" s="261">
        <f t="shared" si="9"/>
        <v>102.28553208020631</v>
      </c>
    </row>
    <row r="29" spans="1:8" x14ac:dyDescent="0.4">
      <c r="A29" s="8" t="s">
        <v>165</v>
      </c>
      <c r="B29" s="262">
        <f>+$B$31*B27/100</f>
        <v>205.27755362671576</v>
      </c>
      <c r="C29" s="65">
        <f t="shared" ref="C29:H29" si="10">+$B$31*C27/100</f>
        <v>367.71962542135026</v>
      </c>
      <c r="D29" s="65">
        <f t="shared" si="10"/>
        <v>96.016094882810251</v>
      </c>
      <c r="E29" s="65">
        <f t="shared" si="10"/>
        <v>2260.9367260691242</v>
      </c>
      <c r="F29" s="65">
        <f t="shared" si="10"/>
        <v>2929.95</v>
      </c>
      <c r="G29" s="262">
        <f t="shared" si="10"/>
        <v>2356.9528209519344</v>
      </c>
      <c r="H29" s="262">
        <f t="shared" si="10"/>
        <v>367.71962542135026</v>
      </c>
    </row>
    <row r="30" spans="1:8" x14ac:dyDescent="0.4">
      <c r="A30" s="259" t="s">
        <v>296</v>
      </c>
      <c r="B30" s="260">
        <f>+GuV!B23</f>
        <v>815</v>
      </c>
      <c r="C30" s="112"/>
      <c r="D30" s="112"/>
      <c r="E30" s="112"/>
      <c r="F30" s="112"/>
      <c r="G30" s="112"/>
      <c r="H30" s="112"/>
    </row>
    <row r="31" spans="1:8" x14ac:dyDescent="0.4">
      <c r="A31" s="97" t="s">
        <v>297</v>
      </c>
      <c r="B31" s="65">
        <f>+ILV!E29</f>
        <v>2929.9500000000003</v>
      </c>
      <c r="C31" s="112"/>
      <c r="D31" s="112"/>
      <c r="E31" s="112"/>
      <c r="F31" s="112"/>
      <c r="G31" s="112"/>
      <c r="H31" s="112"/>
    </row>
    <row r="32" spans="1:8" x14ac:dyDescent="0.4">
      <c r="B32" s="112"/>
      <c r="C32" s="112"/>
      <c r="D32" s="112"/>
      <c r="E32" s="112"/>
      <c r="F32" s="112"/>
      <c r="G32" s="112"/>
      <c r="H32" s="112"/>
    </row>
  </sheetData>
  <mergeCells count="16">
    <mergeCell ref="C13:E13"/>
    <mergeCell ref="A3:K3"/>
    <mergeCell ref="H20:H21"/>
    <mergeCell ref="B20:B21"/>
    <mergeCell ref="A20:A21"/>
    <mergeCell ref="C20:E20"/>
    <mergeCell ref="F20:F21"/>
    <mergeCell ref="G20:G21"/>
    <mergeCell ref="A5:A6"/>
    <mergeCell ref="J5:K5"/>
    <mergeCell ref="K7:K8"/>
    <mergeCell ref="K10:K12"/>
    <mergeCell ref="C5:E5"/>
    <mergeCell ref="F5:H5"/>
    <mergeCell ref="I5:I6"/>
    <mergeCell ref="B5:B6"/>
  </mergeCells>
  <phoneticPr fontId="0" type="noConversion"/>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110" zoomScaleNormal="110" workbookViewId="0"/>
  </sheetViews>
  <sheetFormatPr baseColWidth="10" defaultRowHeight="14.6" x14ac:dyDescent="0.4"/>
  <cols>
    <col min="1" max="1" width="16.53515625" customWidth="1"/>
    <col min="2" max="2" width="8.84375" customWidth="1"/>
    <col min="3" max="4" width="7.3828125" customWidth="1"/>
    <col min="5" max="5" width="9.3046875" customWidth="1"/>
    <col min="6" max="6" width="7.53515625" customWidth="1"/>
    <col min="7" max="7" width="10.15234375" customWidth="1"/>
    <col min="8" max="8" width="8.15234375" customWidth="1"/>
  </cols>
  <sheetData>
    <row r="1" spans="1:11" ht="28.3" x14ac:dyDescent="0.75">
      <c r="A1" s="214" t="s">
        <v>313</v>
      </c>
    </row>
    <row r="2" spans="1:11" x14ac:dyDescent="0.4">
      <c r="B2" s="27"/>
    </row>
    <row r="3" spans="1:11" ht="103.5" customHeight="1" x14ac:dyDescent="0.4">
      <c r="A3" s="344" t="s">
        <v>314</v>
      </c>
      <c r="B3" s="345"/>
      <c r="C3" s="345"/>
      <c r="D3" s="345"/>
      <c r="E3" s="345"/>
      <c r="F3" s="345"/>
      <c r="G3" s="345"/>
      <c r="H3" s="346"/>
    </row>
    <row r="5" spans="1:11" ht="15" customHeight="1" x14ac:dyDescent="0.4">
      <c r="A5" s="412" t="s">
        <v>120</v>
      </c>
      <c r="B5" s="374" t="s">
        <v>34</v>
      </c>
      <c r="C5" s="396" t="s">
        <v>173</v>
      </c>
      <c r="D5" s="396" t="s">
        <v>174</v>
      </c>
      <c r="E5" s="414" t="s">
        <v>111</v>
      </c>
      <c r="F5" s="415"/>
    </row>
    <row r="6" spans="1:11" x14ac:dyDescent="0.4">
      <c r="A6" s="413"/>
      <c r="B6" s="375"/>
      <c r="C6" s="397"/>
      <c r="D6" s="397"/>
      <c r="E6" s="78" t="s">
        <v>112</v>
      </c>
      <c r="F6" s="78" t="s">
        <v>113</v>
      </c>
    </row>
    <row r="7" spans="1:11" x14ac:dyDescent="0.4">
      <c r="A7" s="68" t="str">
        <f>+BETRIEB!A9</f>
        <v xml:space="preserve">  Tritikale</v>
      </c>
      <c r="B7" s="113">
        <f>+BETRIEB!B9</f>
        <v>1.5</v>
      </c>
      <c r="C7" s="79">
        <v>120</v>
      </c>
      <c r="D7" s="79">
        <f t="shared" ref="D7:D12" si="0">+B7*C7</f>
        <v>180</v>
      </c>
      <c r="E7" s="86">
        <f t="shared" ref="E7:E12" si="1">+D7/$D$13*100</f>
        <v>8.8235294117647065</v>
      </c>
      <c r="F7" s="420">
        <f>+E7+E8</f>
        <v>16.176470588235297</v>
      </c>
      <c r="G7" t="s">
        <v>88</v>
      </c>
      <c r="H7" s="112"/>
      <c r="I7" s="112"/>
      <c r="J7" s="112"/>
    </row>
    <row r="8" spans="1:11" x14ac:dyDescent="0.4">
      <c r="A8" s="11" t="str">
        <f>+BETRIEB!A10</f>
        <v xml:space="preserve">  Gerste</v>
      </c>
      <c r="B8" s="114">
        <f>+BETRIEB!B10</f>
        <v>1.25</v>
      </c>
      <c r="C8" s="80">
        <v>120</v>
      </c>
      <c r="D8" s="80">
        <f t="shared" si="0"/>
        <v>150</v>
      </c>
      <c r="E8" s="87">
        <f t="shared" si="1"/>
        <v>7.3529411764705888</v>
      </c>
      <c r="F8" s="421"/>
      <c r="G8" t="s">
        <v>88</v>
      </c>
      <c r="H8" s="112"/>
      <c r="I8" s="112"/>
      <c r="J8" s="112"/>
    </row>
    <row r="9" spans="1:11" x14ac:dyDescent="0.4">
      <c r="A9" s="73" t="str">
        <f>+BETRIEB!A8</f>
        <v xml:space="preserve">  Silomais</v>
      </c>
      <c r="B9" s="115">
        <f>+BETRIEB!B8</f>
        <v>2.25</v>
      </c>
      <c r="C9" s="81">
        <v>120</v>
      </c>
      <c r="D9" s="81">
        <f t="shared" si="0"/>
        <v>270</v>
      </c>
      <c r="E9" s="88">
        <f t="shared" si="1"/>
        <v>13.23529411764706</v>
      </c>
      <c r="F9" s="92">
        <f>+E9</f>
        <v>13.23529411764706</v>
      </c>
      <c r="G9" t="s">
        <v>223</v>
      </c>
      <c r="H9" s="112"/>
      <c r="I9" s="112"/>
      <c r="J9" s="112"/>
    </row>
    <row r="10" spans="1:11" x14ac:dyDescent="0.4">
      <c r="A10" s="71" t="str">
        <f>+BETRIEB!A11</f>
        <v xml:space="preserve">  Kleegras</v>
      </c>
      <c r="B10" s="116">
        <f>+BETRIEB!B11</f>
        <v>2</v>
      </c>
      <c r="C10" s="82">
        <v>120</v>
      </c>
      <c r="D10" s="82">
        <f t="shared" si="0"/>
        <v>240</v>
      </c>
      <c r="E10" s="89">
        <f t="shared" si="1"/>
        <v>11.76470588235294</v>
      </c>
      <c r="F10" s="422">
        <f>+E12+E10+E11</f>
        <v>70.588235294117652</v>
      </c>
      <c r="G10" t="s">
        <v>86</v>
      </c>
      <c r="H10" s="112"/>
      <c r="I10" s="112"/>
      <c r="J10" s="112"/>
    </row>
    <row r="11" spans="1:11" x14ac:dyDescent="0.4">
      <c r="A11" s="71" t="str">
        <f>+BETRIEB!A13</f>
        <v xml:space="preserve">  Silage</v>
      </c>
      <c r="B11" s="116">
        <f>+BETRIEB!B13</f>
        <v>10</v>
      </c>
      <c r="C11" s="82">
        <v>80</v>
      </c>
      <c r="D11" s="82">
        <f t="shared" si="0"/>
        <v>800</v>
      </c>
      <c r="E11" s="89">
        <f t="shared" si="1"/>
        <v>39.215686274509807</v>
      </c>
      <c r="F11" s="423"/>
      <c r="G11" t="s">
        <v>86</v>
      </c>
      <c r="H11" s="112"/>
      <c r="I11" s="112"/>
      <c r="J11" s="112"/>
    </row>
    <row r="12" spans="1:11" x14ac:dyDescent="0.4">
      <c r="A12" s="75" t="str">
        <f>+BETRIEB!A14</f>
        <v xml:space="preserve">  Heu</v>
      </c>
      <c r="B12" s="117">
        <f>+BETRIEB!B14</f>
        <v>5</v>
      </c>
      <c r="C12" s="83">
        <v>80</v>
      </c>
      <c r="D12" s="83">
        <f t="shared" si="0"/>
        <v>400</v>
      </c>
      <c r="E12" s="90">
        <f t="shared" si="1"/>
        <v>19.607843137254903</v>
      </c>
      <c r="F12" s="424"/>
      <c r="G12" t="s">
        <v>86</v>
      </c>
      <c r="H12" s="112"/>
      <c r="I12" s="112"/>
      <c r="J12" s="112"/>
    </row>
    <row r="13" spans="1:11" s="28" customFormat="1" x14ac:dyDescent="0.4">
      <c r="A13" s="46" t="s">
        <v>116</v>
      </c>
      <c r="B13" s="118">
        <f>SUM(B7:B12)</f>
        <v>22</v>
      </c>
      <c r="C13" s="267"/>
      <c r="D13" s="84">
        <f>SUM(D7:D12)</f>
        <v>2040</v>
      </c>
      <c r="E13" s="91">
        <f>SUM(E7:E12)</f>
        <v>100.00000000000001</v>
      </c>
      <c r="F13" s="91">
        <f>SUM(F7:F12)</f>
        <v>100</v>
      </c>
      <c r="G13" s="119"/>
      <c r="H13" s="119"/>
      <c r="I13" s="119"/>
      <c r="J13" s="119"/>
    </row>
    <row r="14" spans="1:11" x14ac:dyDescent="0.4">
      <c r="B14" s="112"/>
      <c r="C14" s="112"/>
      <c r="D14" s="112"/>
      <c r="E14" s="112"/>
      <c r="F14" s="112"/>
      <c r="G14" s="112"/>
      <c r="H14" s="112"/>
      <c r="I14" s="112"/>
      <c r="J14" s="112"/>
      <c r="K14" s="112"/>
    </row>
  </sheetData>
  <mergeCells count="8">
    <mergeCell ref="A3:H3"/>
    <mergeCell ref="A5:A6"/>
    <mergeCell ref="F7:F8"/>
    <mergeCell ref="F10:F12"/>
    <mergeCell ref="E5:F5"/>
    <mergeCell ref="D5:D6"/>
    <mergeCell ref="C5:C6"/>
    <mergeCell ref="B5:B6"/>
  </mergeCells>
  <phoneticPr fontId="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INFO</vt:lpstr>
      <vt:lpstr>BETRIEB</vt:lpstr>
      <vt:lpstr>GuV</vt:lpstr>
      <vt:lpstr>KA</vt:lpstr>
      <vt:lpstr>BZA</vt:lpstr>
      <vt:lpstr>ILV</vt:lpstr>
      <vt:lpstr>TIERE</vt:lpstr>
      <vt:lpstr>DÜNGER</vt:lpstr>
      <vt:lpstr>DIESEL</vt:lpstr>
      <vt:lpstr>ANLAGEN</vt:lpstr>
      <vt:lpstr>SCHLÜSSEL</vt:lpstr>
      <vt:lpstr>KONTROLLE</vt:lpstr>
      <vt:lpstr>KENNZAHLEN</vt:lpstr>
      <vt:lpstr>INTERPRETATION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Leopold.KIRNER</dc:creator>
  <cp:lastModifiedBy>Hannes Erber</cp:lastModifiedBy>
  <cp:lastPrinted>2014-07-08T10:11:56Z</cp:lastPrinted>
  <dcterms:created xsi:type="dcterms:W3CDTF">2012-07-20T09:10:14Z</dcterms:created>
  <dcterms:modified xsi:type="dcterms:W3CDTF">2016-11-18T19:00:35Z</dcterms:modified>
</cp:coreProperties>
</file>