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20490" windowHeight="7545" activeTab="0"/>
  </bookViews>
  <sheets>
    <sheet name="Maschinenkosten" sheetId="1" r:id="rId1"/>
    <sheet name="Formeln in Maschinenkosten" sheetId="2" r:id="rId2"/>
    <sheet name="versch_ Auslastungen Übersicht" sheetId="3" r:id="rId3"/>
    <sheet name="Überlegungen" sheetId="4" r:id="rId4"/>
  </sheets>
  <definedNames>
    <definedName name="abgeschrieben?">'Maschinenkosten'!$D$5</definedName>
    <definedName name="Afa">'Maschinenkosten'!$D$20</definedName>
    <definedName name="Anschaffungsjahr">'Maschinenkosten'!$C$5</definedName>
    <definedName name="Anschaffungswert">'Maschinenkosten'!$C$6</definedName>
    <definedName name="Betriebsstunden">'Maschinenkosten'!$C$12</definedName>
    <definedName name="Derzeit">'Maschinenkosten'!$G$1</definedName>
    <definedName name="Dieselpreis">'Maschinenkosten'!$C$13</definedName>
    <definedName name="_xlnm.Print_Area" localSheetId="0">'Maschinenkosten'!$A$1:$I$61</definedName>
    <definedName name="Excel_BuiltIn_Print_Area_1">'Maschinenkosten'!$A$1:$H$61</definedName>
    <definedName name="F">'versch_ Auslastungen Übersicht'!$D$2</definedName>
    <definedName name="geschätzte_Inflation">'Maschinenkosten'!$C$10</definedName>
    <definedName name="Jahresfixkosten">'Maschinenkosten'!$G$23</definedName>
    <definedName name="Jahreskosten">'Maschinenkosten'!$G$34</definedName>
    <definedName name="JahresVariableKosten">'Maschinenkosten'!$G$31</definedName>
    <definedName name="Leistung">'Maschinenkosten'!$C$11</definedName>
    <definedName name="Maschine">'Maschinenkosten'!$C$4</definedName>
    <definedName name="MR">'versch_ Auslastungen Übersicht'!$E$5</definedName>
    <definedName name="MR...Tarif">'Maschinenkosten'!$G$5</definedName>
    <definedName name="Nutzungsdauer">'Maschinenkosten'!$C$7</definedName>
    <definedName name="Reparaturen">'Maschinenkosten'!$C$17</definedName>
    <definedName name="Reparaturkosten">'Maschinenkosten'!$D$29</definedName>
    <definedName name="Restwert">'Maschinenkosten'!$C$8</definedName>
    <definedName name="Schmiermittelkosten">'Maschinenkosten'!$D$28</definedName>
    <definedName name="Schrottwert">'Maschinenkosten'!$C$8</definedName>
    <definedName name="Stundenfixkosten">'Maschinenkosten'!$D$24</definedName>
    <definedName name="Stundenkosten">'Maschinenkosten'!$D$33</definedName>
    <definedName name="StundenVariableKosten">'Maschinenkosten'!$D$30</definedName>
    <definedName name="Stundenverbrauch">'Maschinenkosten'!$C$14</definedName>
    <definedName name="Treibstoffkosten">'Maschinenkosten'!$D$27</definedName>
    <definedName name="Unterbringung">'Maschinenkosten'!$C$16</definedName>
    <definedName name="UV">'Maschinenkosten'!$D$22</definedName>
    <definedName name="V">'versch_ Auslastungen Übersicht'!$D$3</definedName>
    <definedName name="Verzinsung">'Maschinenkosten'!$C$15</definedName>
    <definedName name="Wiederbeschaffungswert">'Maschinenkosten'!$C$9</definedName>
    <definedName name="Zinsen">'Maschinenkosten'!$D$21</definedName>
  </definedNames>
  <calcPr fullCalcOnLoad="1"/>
</workbook>
</file>

<file path=xl/comments1.xml><?xml version="1.0" encoding="utf-8"?>
<comments xmlns="http://schemas.openxmlformats.org/spreadsheetml/2006/main">
  <authors>
    <author>he</author>
  </authors>
  <commentList>
    <comment ref="B8" authorId="0">
      <text>
        <r>
          <rPr>
            <b/>
            <sz val="8"/>
            <color indexed="8"/>
            <rFont val="Times New Roman"/>
            <family val="1"/>
          </rPr>
          <t>oder SCHROTTWERT
auch negativ möglich (Entsorgungskosten!)</t>
        </r>
      </text>
    </comment>
  </commentList>
</comments>
</file>

<file path=xl/sharedStrings.xml><?xml version="1.0" encoding="utf-8"?>
<sst xmlns="http://schemas.openxmlformats.org/spreadsheetml/2006/main" count="136" uniqueCount="130">
  <si>
    <t>Einzelmaschinen-Kostenberechnung:</t>
  </si>
  <si>
    <t>Einfüllfelder</t>
  </si>
  <si>
    <t>Fragen?</t>
  </si>
  <si>
    <t>ÖKL-Richtwerte für Maschinenselbstkosten (online)</t>
  </si>
  <si>
    <t>http://blrw.twoday.net/</t>
  </si>
  <si>
    <t>Maschine:</t>
  </si>
  <si>
    <t>MR-Tarif:</t>
  </si>
  <si>
    <t>€ pro Stunde</t>
  </si>
  <si>
    <t>Anschaffungsjahr:</t>
  </si>
  <si>
    <t>Anschaffungswert:</t>
  </si>
  <si>
    <t>€</t>
  </si>
  <si>
    <t>€ pro Liter</t>
  </si>
  <si>
    <t>Restwert</t>
  </si>
  <si>
    <t>Verbrauch:</t>
  </si>
  <si>
    <t>Liter pro Stunde</t>
  </si>
  <si>
    <t>Wiederbeschaffungswert:</t>
  </si>
  <si>
    <t>geschätzte Inflation:</t>
  </si>
  <si>
    <t>Leistung:</t>
  </si>
  <si>
    <t>kW</t>
  </si>
  <si>
    <t>Verzinsung:</t>
  </si>
  <si>
    <t>Nutzungsdauer:</t>
  </si>
  <si>
    <t>Jahre</t>
  </si>
  <si>
    <t>Unterbr.,V.:</t>
  </si>
  <si>
    <t xml:space="preserve"> vom Anschaffungswert</t>
  </si>
  <si>
    <t>Einsatzstunden:</t>
  </si>
  <si>
    <t>pro Jahr</t>
  </si>
  <si>
    <t>Reparaturen:</t>
  </si>
  <si>
    <t>Fixkosten pro Jahr:</t>
  </si>
  <si>
    <t>Afa:</t>
  </si>
  <si>
    <t>Z:</t>
  </si>
  <si>
    <t>U,V:</t>
  </si>
  <si>
    <t>Summe:</t>
  </si>
  <si>
    <t>Fixkosten pro Stunde:</t>
  </si>
  <si>
    <t>Variable Kosten pro Betriebsstunde:</t>
  </si>
  <si>
    <t>TS:</t>
  </si>
  <si>
    <t>SM:</t>
  </si>
  <si>
    <t>% von TS</t>
  </si>
  <si>
    <t>Rep:</t>
  </si>
  <si>
    <t>Variable Kosten Pro Jahr:</t>
  </si>
  <si>
    <t>Gesamtkosten pro Stunde:</t>
  </si>
  <si>
    <t>Gesamtkosten pro Jahr:</t>
  </si>
  <si>
    <t>FK/h</t>
  </si>
  <si>
    <t>VK/h</t>
  </si>
  <si>
    <t>Verschiedene Auslastungen:</t>
  </si>
  <si>
    <t>FK/Jahr</t>
  </si>
  <si>
    <t>h/Jahr</t>
  </si>
  <si>
    <t>TK/h</t>
  </si>
  <si>
    <t>MR</t>
  </si>
  <si>
    <t>TK</t>
  </si>
  <si>
    <t>Differenz</t>
  </si>
  <si>
    <r>
      <t xml:space="preserve">Erst wenn die </t>
    </r>
    <r>
      <rPr>
        <b/>
        <sz val="10"/>
        <color indexed="57"/>
        <rFont val="Arial"/>
        <family val="2"/>
      </rPr>
      <t>Differenz</t>
    </r>
    <r>
      <rPr>
        <b/>
        <sz val="10"/>
        <color indexed="8"/>
        <rFont val="Arial"/>
        <family val="2"/>
      </rPr>
      <t xml:space="preserve"> positiv (schwarz wird)</t>
    </r>
  </si>
  <si>
    <t>ist eine Eigenmechanisierung günstiger.</t>
  </si>
  <si>
    <t>Bezug</t>
  </si>
  <si>
    <t>Formel</t>
  </si>
  <si>
    <t>G1</t>
  </si>
  <si>
    <t>D5</t>
  </si>
  <si>
    <t xml:space="preserve"> =Anschaffungswert*Unterbringung</t>
  </si>
  <si>
    <t xml:space="preserve"> =Afa+Zinsen+UV</t>
  </si>
  <si>
    <t xml:space="preserve"> =Jahresfixkosten/Betriebsstunden</t>
  </si>
  <si>
    <t>D22</t>
  </si>
  <si>
    <t xml:space="preserve"> =Dieselpreis*Stundenverbrauch</t>
  </si>
  <si>
    <t xml:space="preserve"> =Treibstoffkosten*20%</t>
  </si>
  <si>
    <t>D24</t>
  </si>
  <si>
    <t xml:space="preserve"> =Anschaffungswert*Reparaturen/100</t>
  </si>
  <si>
    <t xml:space="preserve"> =Treibstoffkosten+Schmiermittelkosten+Reparaturkosten</t>
  </si>
  <si>
    <t xml:space="preserve"> =StundenVariableKosten*Betriebsstunden</t>
  </si>
  <si>
    <t>D28</t>
  </si>
  <si>
    <t xml:space="preserve"> =Stundenfixkosten+StundenVariableKosten</t>
  </si>
  <si>
    <t xml:space="preserve"> =Jahresfixkosten+JahresVariableKosten</t>
  </si>
  <si>
    <t>Absetzung für Abnutzung</t>
  </si>
  <si>
    <t>Kalkulatorische Abschreibung - unterliegt keinen Rechtsvorschriften</t>
  </si>
  <si>
    <t>Fall1:</t>
  </si>
  <si>
    <t>Absetzung des Anschaffungswertes auf Null</t>
  </si>
  <si>
    <t>Fall2:</t>
  </si>
  <si>
    <t>Wertverlauf nach Ablauf der Nutzungsdauer</t>
  </si>
  <si>
    <t>Fall3:</t>
  </si>
  <si>
    <t>Großreparaturen während und jenseits der Nutzungsdauer</t>
  </si>
  <si>
    <t>Fall4:</t>
  </si>
  <si>
    <t>Wertverlauf bei Einbeziehen eines Restwertes</t>
  </si>
  <si>
    <t>Fall5:</t>
  </si>
  <si>
    <t>der Wiederbeschaffungswert und seine Berechnung</t>
  </si>
  <si>
    <t>Fall6:</t>
  </si>
  <si>
    <t>Wiederbeschaffungswert und Restwert</t>
  </si>
  <si>
    <t>…</t>
  </si>
  <si>
    <t>PS</t>
  </si>
  <si>
    <t xml:space="preserve"> vom Anschaffungswert pro 100 Std.</t>
  </si>
  <si>
    <t>Interaktiv:</t>
  </si>
  <si>
    <t>Betriebslehre LLA Weitau</t>
  </si>
  <si>
    <t>Frontmähwerk 3,1 m</t>
  </si>
  <si>
    <t>Mindestauslastung in Betriebsstunden,
damit Eigenmechanisierung sinnvoll ist.</t>
  </si>
  <si>
    <t>Dieselpreis:</t>
  </si>
  <si>
    <t>vom Anschaffungswert</t>
  </si>
  <si>
    <t>Vergleich Eigenmechanisierung &lt;&gt;überbetrieblicher Einsatz</t>
  </si>
  <si>
    <t>Eigenmechanisierung ist…</t>
  </si>
  <si>
    <t>NUR für dieselbetriebene Maschinen oder solche ohne eigenen Antrieb</t>
  </si>
  <si>
    <t>Beachte weitere Kosten (Zugmaschine, Mann…)!!!</t>
  </si>
  <si>
    <t xml:space="preserve"> =JAHR(HEUTE())</t>
  </si>
  <si>
    <t xml:space="preserve"> =WENN((Derzeit-Anschaffungsjahr)&gt;Nutzungsdauer;"abgeschrieben";"")</t>
  </si>
  <si>
    <t>G6</t>
  </si>
  <si>
    <t xml:space="preserve"> =WENN(MR...Tarif="";"";Jahresfixkosten/(MR...Tarif-StundenVariableKosten))</t>
  </si>
  <si>
    <t>C9</t>
  </si>
  <si>
    <t xml:space="preserve"> =Anschaffungswert*POTENZ((1+geschätzte_Inflation);Nutzungsdauer)</t>
  </si>
  <si>
    <t>G9</t>
  </si>
  <si>
    <t xml:space="preserve"> =WENN(G5&lt;&gt;0;VERKETTEN("…pro Stunde (";Betriebsstunden;") um ";H13;" % ";H14);"")</t>
  </si>
  <si>
    <t>G10</t>
  </si>
  <si>
    <t xml:space="preserve"> =WENN(H15&lt;0;VERKETTEN("…mögliche Ersparnis pro Jahr beträgt ";H15*-1;" Euro");"")</t>
  </si>
  <si>
    <t>C14</t>
  </si>
  <si>
    <t xml:space="preserve"> =WENN(D11=2;Leistung/10;Leistung/7,36)</t>
  </si>
  <si>
    <t>H13</t>
  </si>
  <si>
    <t xml:space="preserve"> =RUNDEN(MR...Tarif/Stundenkosten%-100;0)</t>
  </si>
  <si>
    <t>H14</t>
  </si>
  <si>
    <t xml:space="preserve"> =WENN(H13&gt;=0;"günstiger";"teurer")</t>
  </si>
  <si>
    <t>H15</t>
  </si>
  <si>
    <t xml:space="preserve"> =RUNDEN(Jahreskosten-MR...Tarif*Betriebsstunden;0)</t>
  </si>
  <si>
    <t>D20</t>
  </si>
  <si>
    <t xml:space="preserve"> =WENN(abgeschrieben?="abgeschrieben";0;(Wiederbeschaffungswert-Restwert)/Nutzungsdauer)</t>
  </si>
  <si>
    <t>D21</t>
  </si>
  <si>
    <t xml:space="preserve"> =WENN(D5="abgeschrieben";Restwert*Verzinsung;((Anschaffungswert+Restwert)/2)*Verzinsung)</t>
  </si>
  <si>
    <t>G23</t>
  </si>
  <si>
    <t>D27</t>
  </si>
  <si>
    <t>D29</t>
  </si>
  <si>
    <t>D30</t>
  </si>
  <si>
    <t>G31</t>
  </si>
  <si>
    <t>D33</t>
  </si>
  <si>
    <t>G34</t>
  </si>
  <si>
    <t>C52</t>
  </si>
  <si>
    <t xml:space="preserve"> =D24</t>
  </si>
  <si>
    <t>C53</t>
  </si>
  <si>
    <t xml:space="preserve"> =D30</t>
  </si>
  <si>
    <t>ver.1.1.14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</si>
</sst>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0.0"/>
    <numFmt numFmtId="174" formatCode="#,##0.00\ [$€-1]"/>
    <numFmt numFmtId="175" formatCode="#,##0&quot; .-&quot;"/>
    <numFmt numFmtId="176" formatCode="0.00_ ;[Red]\-0.00\ 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67">
    <font>
      <sz val="10"/>
      <name val="Arial"/>
      <family val="2"/>
    </font>
    <font>
      <b/>
      <sz val="10"/>
      <name val="Verdana"/>
      <family val="2"/>
    </font>
    <font>
      <sz val="18"/>
      <name val="Verdana"/>
      <family val="2"/>
    </font>
    <font>
      <u val="single"/>
      <sz val="7.5"/>
      <color indexed="12"/>
      <name val="Arial"/>
      <family val="2"/>
    </font>
    <font>
      <b/>
      <sz val="10"/>
      <color indexed="9"/>
      <name val="Verdana"/>
      <family val="2"/>
    </font>
    <font>
      <b/>
      <sz val="10"/>
      <color indexed="10"/>
      <name val="Verdana"/>
      <family val="2"/>
    </font>
    <font>
      <b/>
      <sz val="20"/>
      <color indexed="10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8"/>
      <color indexed="8"/>
      <name val="Times New Roman"/>
      <family val="1"/>
    </font>
    <font>
      <b/>
      <i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5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Verdana"/>
      <family val="2"/>
    </font>
    <font>
      <sz val="10"/>
      <color indexed="9"/>
      <name val="Verdana"/>
      <family val="2"/>
    </font>
    <font>
      <sz val="8"/>
      <name val="Segoe UI"/>
      <family val="2"/>
    </font>
    <font>
      <b/>
      <sz val="8"/>
      <color indexed="8"/>
      <name val="Arial"/>
      <family val="0"/>
    </font>
    <font>
      <sz val="10"/>
      <color indexed="8"/>
      <name val="Calibri"/>
      <family val="0"/>
    </font>
    <font>
      <sz val="22"/>
      <color indexed="14"/>
      <name val="Arial"/>
      <family val="0"/>
    </font>
    <font>
      <sz val="22"/>
      <color indexed="6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Verdana"/>
      <family val="2"/>
    </font>
    <font>
      <b/>
      <sz val="12"/>
      <color theme="4" tint="-0.24997000396251678"/>
      <name val="Verdana"/>
      <family val="2"/>
    </font>
    <font>
      <sz val="10"/>
      <color theme="0"/>
      <name val="Verdana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57"/>
      </right>
      <top style="thin">
        <color indexed="8"/>
      </top>
      <bottom style="double">
        <color indexed="57"/>
      </bottom>
    </border>
    <border>
      <left style="thick">
        <color indexed="8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57"/>
      </top>
      <bottom style="thin">
        <color indexed="8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 style="thin">
        <color indexed="8"/>
      </left>
      <right style="thick">
        <color indexed="57"/>
      </right>
      <top style="thin">
        <color indexed="8"/>
      </top>
      <bottom style="thick">
        <color indexed="57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49" fillId="0" borderId="0" applyNumberFormat="0" applyFill="0" applyBorder="0" applyAlignment="0" applyProtection="0"/>
    <xf numFmtId="169" fontId="0" fillId="0" borderId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1" fillId="34" borderId="11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11" fillId="35" borderId="12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1" fontId="1" fillId="36" borderId="13" xfId="0" applyNumberFormat="1" applyFont="1" applyFill="1" applyBorder="1" applyAlignment="1" applyProtection="1">
      <alignment/>
      <protection/>
    </xf>
    <xf numFmtId="0" fontId="1" fillId="36" borderId="13" xfId="0" applyFont="1" applyFill="1" applyBorder="1" applyAlignment="1" applyProtection="1">
      <alignment/>
      <protection/>
    </xf>
    <xf numFmtId="0" fontId="1" fillId="36" borderId="14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173" fontId="1" fillId="36" borderId="0" xfId="0" applyNumberFormat="1" applyFont="1" applyFill="1" applyBorder="1" applyAlignment="1" applyProtection="1">
      <alignment/>
      <protection/>
    </xf>
    <xf numFmtId="1" fontId="1" fillId="36" borderId="0" xfId="0" applyNumberFormat="1" applyFont="1" applyFill="1" applyBorder="1" applyAlignment="1" applyProtection="1">
      <alignment/>
      <protection/>
    </xf>
    <xf numFmtId="4" fontId="1" fillId="35" borderId="15" xfId="0" applyNumberFormat="1" applyFont="1" applyFill="1" applyBorder="1" applyAlignment="1" applyProtection="1">
      <alignment/>
      <protection/>
    </xf>
    <xf numFmtId="0" fontId="11" fillId="37" borderId="16" xfId="0" applyFont="1" applyFill="1" applyBorder="1" applyAlignment="1" applyProtection="1">
      <alignment/>
      <protection/>
    </xf>
    <xf numFmtId="0" fontId="1" fillId="36" borderId="17" xfId="0" applyFont="1" applyFill="1" applyBorder="1" applyAlignment="1" applyProtection="1">
      <alignment/>
      <protection/>
    </xf>
    <xf numFmtId="4" fontId="1" fillId="37" borderId="18" xfId="0" applyNumberFormat="1" applyFont="1" applyFill="1" applyBorder="1" applyAlignment="1" applyProtection="1">
      <alignment/>
      <protection/>
    </xf>
    <xf numFmtId="1" fontId="1" fillId="36" borderId="19" xfId="0" applyNumberFormat="1" applyFont="1" applyFill="1" applyBorder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1" fillId="37" borderId="12" xfId="0" applyFont="1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/>
      <protection/>
    </xf>
    <xf numFmtId="1" fontId="1" fillId="36" borderId="20" xfId="0" applyNumberFormat="1" applyFont="1" applyFill="1" applyBorder="1" applyAlignment="1" applyProtection="1">
      <alignment/>
      <protection/>
    </xf>
    <xf numFmtId="2" fontId="1" fillId="36" borderId="0" xfId="0" applyNumberFormat="1" applyFont="1" applyFill="1" applyBorder="1" applyAlignment="1" applyProtection="1">
      <alignment/>
      <protection/>
    </xf>
    <xf numFmtId="1" fontId="1" fillId="36" borderId="21" xfId="0" applyNumberFormat="1" applyFont="1" applyFill="1" applyBorder="1" applyAlignment="1" applyProtection="1">
      <alignment/>
      <protection/>
    </xf>
    <xf numFmtId="4" fontId="1" fillId="37" borderId="11" xfId="0" applyNumberFormat="1" applyFont="1" applyFill="1" applyBorder="1" applyAlignment="1" applyProtection="1">
      <alignment/>
      <protection/>
    </xf>
    <xf numFmtId="0" fontId="11" fillId="35" borderId="16" xfId="0" applyFont="1" applyFill="1" applyBorder="1" applyAlignment="1" applyProtection="1">
      <alignment/>
      <protection/>
    </xf>
    <xf numFmtId="174" fontId="1" fillId="36" borderId="17" xfId="0" applyNumberFormat="1" applyFont="1" applyFill="1" applyBorder="1" applyAlignment="1" applyProtection="1">
      <alignment/>
      <protection/>
    </xf>
    <xf numFmtId="4" fontId="1" fillId="35" borderId="22" xfId="0" applyNumberFormat="1" applyFont="1" applyFill="1" applyBorder="1" applyAlignment="1" applyProtection="1">
      <alignment/>
      <protection/>
    </xf>
    <xf numFmtId="0" fontId="13" fillId="36" borderId="23" xfId="0" applyFont="1" applyFill="1" applyBorder="1" applyAlignment="1" applyProtection="1">
      <alignment/>
      <protection/>
    </xf>
    <xf numFmtId="0" fontId="1" fillId="36" borderId="24" xfId="0" applyFont="1" applyFill="1" applyBorder="1" applyAlignment="1" applyProtection="1">
      <alignment/>
      <protection/>
    </xf>
    <xf numFmtId="4" fontId="1" fillId="37" borderId="25" xfId="0" applyNumberFormat="1" applyFont="1" applyFill="1" applyBorder="1" applyAlignment="1" applyProtection="1">
      <alignment/>
      <protection/>
    </xf>
    <xf numFmtId="1" fontId="1" fillId="36" borderId="26" xfId="0" applyNumberFormat="1" applyFont="1" applyFill="1" applyBorder="1" applyAlignment="1" applyProtection="1">
      <alignment/>
      <protection/>
    </xf>
    <xf numFmtId="0" fontId="1" fillId="36" borderId="27" xfId="0" applyFont="1" applyFill="1" applyBorder="1" applyAlignment="1" applyProtection="1">
      <alignment/>
      <protection/>
    </xf>
    <xf numFmtId="0" fontId="1" fillId="36" borderId="28" xfId="0" applyFont="1" applyFill="1" applyBorder="1" applyAlignment="1" applyProtection="1">
      <alignment/>
      <protection/>
    </xf>
    <xf numFmtId="1" fontId="1" fillId="36" borderId="28" xfId="0" applyNumberFormat="1" applyFont="1" applyFill="1" applyBorder="1" applyAlignment="1" applyProtection="1">
      <alignment/>
      <protection/>
    </xf>
    <xf numFmtId="4" fontId="1" fillId="35" borderId="29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5" fillId="35" borderId="30" xfId="0" applyFont="1" applyFill="1" applyBorder="1" applyAlignment="1">
      <alignment/>
    </xf>
    <xf numFmtId="1" fontId="15" fillId="35" borderId="31" xfId="0" applyNumberFormat="1" applyFont="1" applyFill="1" applyBorder="1" applyAlignment="1">
      <alignment/>
    </xf>
    <xf numFmtId="1" fontId="15" fillId="35" borderId="32" xfId="0" applyNumberFormat="1" applyFont="1" applyFill="1" applyBorder="1" applyAlignment="1">
      <alignment/>
    </xf>
    <xf numFmtId="1" fontId="14" fillId="35" borderId="32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1" fontId="0" fillId="0" borderId="0" xfId="0" applyNumberFormat="1" applyAlignment="1">
      <alignment/>
    </xf>
    <xf numFmtId="1" fontId="14" fillId="35" borderId="33" xfId="0" applyNumberFormat="1" applyFont="1" applyFill="1" applyBorder="1" applyAlignment="1">
      <alignment/>
    </xf>
    <xf numFmtId="2" fontId="14" fillId="35" borderId="34" xfId="0" applyNumberFormat="1" applyFont="1" applyFill="1" applyBorder="1" applyAlignment="1">
      <alignment/>
    </xf>
    <xf numFmtId="1" fontId="14" fillId="35" borderId="35" xfId="0" applyNumberFormat="1" applyFont="1" applyFill="1" applyBorder="1" applyAlignment="1">
      <alignment/>
    </xf>
    <xf numFmtId="0" fontId="14" fillId="0" borderId="36" xfId="0" applyFont="1" applyBorder="1" applyAlignment="1">
      <alignment horizontal="center"/>
    </xf>
    <xf numFmtId="1" fontId="14" fillId="0" borderId="37" xfId="0" applyNumberFormat="1" applyFont="1" applyBorder="1" applyAlignment="1">
      <alignment horizontal="center"/>
    </xf>
    <xf numFmtId="1" fontId="14" fillId="0" borderId="38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1" fontId="14" fillId="0" borderId="11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14" fillId="35" borderId="11" xfId="0" applyFont="1" applyFill="1" applyBorder="1" applyAlignment="1">
      <alignment/>
    </xf>
    <xf numFmtId="2" fontId="14" fillId="35" borderId="11" xfId="0" applyNumberFormat="1" applyFont="1" applyFill="1" applyBorder="1" applyAlignment="1">
      <alignment/>
    </xf>
    <xf numFmtId="2" fontId="14" fillId="0" borderId="39" xfId="0" applyNumberFormat="1" applyFont="1" applyBorder="1" applyAlignment="1">
      <alignment/>
    </xf>
    <xf numFmtId="175" fontId="14" fillId="0" borderId="39" xfId="0" applyNumberFormat="1" applyFont="1" applyBorder="1" applyAlignment="1">
      <alignment/>
    </xf>
    <xf numFmtId="176" fontId="14" fillId="0" borderId="11" xfId="0" applyNumberFormat="1" applyFont="1" applyBorder="1" applyAlignment="1">
      <alignment/>
    </xf>
    <xf numFmtId="0" fontId="17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Alignment="1">
      <alignment/>
    </xf>
    <xf numFmtId="0" fontId="9" fillId="0" borderId="0" xfId="0" applyFont="1" applyBorder="1" applyAlignment="1" applyProtection="1">
      <alignment/>
      <protection locked="0"/>
    </xf>
    <xf numFmtId="0" fontId="63" fillId="0" borderId="0" xfId="0" applyFont="1" applyAlignment="1" applyProtection="1">
      <alignment/>
      <protection hidden="1"/>
    </xf>
    <xf numFmtId="0" fontId="1" fillId="0" borderId="0" xfId="0" applyFont="1" applyBorder="1" applyAlignment="1">
      <alignment horizontal="center"/>
    </xf>
    <xf numFmtId="0" fontId="3" fillId="0" borderId="0" xfId="48" applyNumberFormat="1" applyFill="1" applyBorder="1" applyAlignment="1" applyProtection="1">
      <alignment/>
      <protection/>
    </xf>
    <xf numFmtId="0" fontId="1" fillId="38" borderId="40" xfId="0" applyFont="1" applyFill="1" applyBorder="1" applyAlignment="1" applyProtection="1">
      <alignment horizontal="center"/>
      <protection/>
    </xf>
    <xf numFmtId="0" fontId="3" fillId="39" borderId="41" xfId="48" applyNumberFormat="1" applyFont="1" applyFill="1" applyBorder="1" applyAlignment="1" applyProtection="1">
      <alignment horizontal="center"/>
      <protection/>
    </xf>
    <xf numFmtId="0" fontId="3" fillId="39" borderId="42" xfId="48" applyNumberFormat="1" applyFill="1" applyBorder="1" applyAlignment="1" applyProtection="1">
      <alignment horizontal="center"/>
      <protection/>
    </xf>
    <xf numFmtId="0" fontId="4" fillId="40" borderId="43" xfId="0" applyFont="1" applyFill="1" applyBorder="1" applyAlignment="1">
      <alignment horizontal="right" vertical="center"/>
    </xf>
    <xf numFmtId="1" fontId="64" fillId="19" borderId="0" xfId="0" applyNumberFormat="1" applyFont="1" applyFill="1" applyBorder="1" applyAlignment="1">
      <alignment horizontal="center" vertical="center"/>
    </xf>
    <xf numFmtId="2" fontId="1" fillId="19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/>
      <protection locked="0"/>
    </xf>
    <xf numFmtId="0" fontId="2" fillId="33" borderId="44" xfId="0" applyFont="1" applyFill="1" applyBorder="1" applyAlignment="1" applyProtection="1">
      <alignment/>
      <protection locked="0"/>
    </xf>
    <xf numFmtId="4" fontId="1" fillId="33" borderId="44" xfId="0" applyNumberFormat="1" applyFont="1" applyFill="1" applyBorder="1" applyAlignment="1" applyProtection="1">
      <alignment/>
      <protection locked="0"/>
    </xf>
    <xf numFmtId="4" fontId="1" fillId="34" borderId="44" xfId="0" applyNumberFormat="1" applyFont="1" applyFill="1" applyBorder="1" applyAlignment="1" applyProtection="1">
      <alignment/>
      <protection/>
    </xf>
    <xf numFmtId="172" fontId="1" fillId="33" borderId="44" xfId="51" applyNumberFormat="1" applyFont="1" applyFill="1" applyBorder="1" applyAlignment="1" applyProtection="1">
      <alignment/>
      <protection locked="0"/>
    </xf>
    <xf numFmtId="0" fontId="1" fillId="33" borderId="44" xfId="0" applyFont="1" applyFill="1" applyBorder="1" applyAlignment="1" applyProtection="1">
      <alignment/>
      <protection locked="0"/>
    </xf>
    <xf numFmtId="2" fontId="1" fillId="0" borderId="44" xfId="0" applyNumberFormat="1" applyFont="1" applyBorder="1" applyAlignment="1">
      <alignment/>
    </xf>
    <xf numFmtId="172" fontId="1" fillId="33" borderId="44" xfId="0" applyNumberFormat="1" applyFont="1" applyFill="1" applyBorder="1" applyAlignment="1" applyProtection="1">
      <alignment/>
      <protection locked="0"/>
    </xf>
    <xf numFmtId="9" fontId="1" fillId="33" borderId="44" xfId="0" applyNumberFormat="1" applyFont="1" applyFill="1" applyBorder="1" applyAlignment="1" applyProtection="1">
      <alignment/>
      <protection locked="0"/>
    </xf>
    <xf numFmtId="0" fontId="4" fillId="41" borderId="45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1" fillId="19" borderId="45" xfId="0" applyFont="1" applyFill="1" applyBorder="1" applyAlignment="1">
      <alignment/>
    </xf>
    <xf numFmtId="0" fontId="1" fillId="19" borderId="46" xfId="0" applyFont="1" applyFill="1" applyBorder="1" applyAlignment="1">
      <alignment/>
    </xf>
    <xf numFmtId="0" fontId="1" fillId="19" borderId="47" xfId="0" applyFont="1" applyFill="1" applyBorder="1" applyAlignment="1">
      <alignment/>
    </xf>
    <xf numFmtId="0" fontId="7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8" fillId="0" borderId="51" xfId="0" applyFont="1" applyBorder="1" applyAlignment="1">
      <alignment/>
    </xf>
    <xf numFmtId="0" fontId="1" fillId="0" borderId="50" xfId="0" applyFont="1" applyBorder="1" applyAlignment="1">
      <alignment/>
    </xf>
    <xf numFmtId="0" fontId="9" fillId="19" borderId="51" xfId="0" applyFont="1" applyFill="1" applyBorder="1" applyAlignment="1">
      <alignment wrapText="1"/>
    </xf>
    <xf numFmtId="0" fontId="1" fillId="0" borderId="51" xfId="0" applyFont="1" applyBorder="1" applyAlignment="1">
      <alignment/>
    </xf>
    <xf numFmtId="0" fontId="9" fillId="19" borderId="51" xfId="0" applyFont="1" applyFill="1" applyBorder="1" applyAlignment="1">
      <alignment/>
    </xf>
    <xf numFmtId="0" fontId="1" fillId="19" borderId="52" xfId="0" applyFont="1" applyFill="1" applyBorder="1" applyAlignment="1">
      <alignment/>
    </xf>
    <xf numFmtId="0" fontId="65" fillId="0" borderId="51" xfId="0" applyFont="1" applyBorder="1" applyAlignment="1">
      <alignment/>
    </xf>
    <xf numFmtId="0" fontId="1" fillId="0" borderId="53" xfId="0" applyFont="1" applyBorder="1" applyAlignment="1">
      <alignment/>
    </xf>
    <xf numFmtId="172" fontId="1" fillId="33" borderId="54" xfId="0" applyNumberFormat="1" applyFont="1" applyFill="1" applyBorder="1" applyAlignment="1" applyProtection="1">
      <alignment/>
      <protection locked="0"/>
    </xf>
    <xf numFmtId="0" fontId="9" fillId="0" borderId="55" xfId="0" applyFont="1" applyBorder="1" applyAlignment="1">
      <alignment/>
    </xf>
    <xf numFmtId="0" fontId="1" fillId="0" borderId="55" xfId="0" applyFont="1" applyBorder="1" applyAlignment="1">
      <alignment/>
    </xf>
    <xf numFmtId="0" fontId="9" fillId="0" borderId="56" xfId="0" applyFont="1" applyBorder="1" applyAlignment="1">
      <alignment/>
    </xf>
    <xf numFmtId="0" fontId="9" fillId="0" borderId="0" xfId="0" applyFont="1" applyAlignment="1">
      <alignment horizontal="right"/>
    </xf>
    <xf numFmtId="0" fontId="2" fillId="42" borderId="5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33" borderId="58" xfId="0" applyFont="1" applyFill="1" applyBorder="1" applyAlignment="1" applyProtection="1">
      <alignment horizontal="left"/>
      <protection locked="0"/>
    </xf>
    <xf numFmtId="0" fontId="2" fillId="33" borderId="59" xfId="0" applyFont="1" applyFill="1" applyBorder="1" applyAlignment="1" applyProtection="1">
      <alignment horizontal="left"/>
      <protection locked="0"/>
    </xf>
    <xf numFmtId="0" fontId="1" fillId="19" borderId="60" xfId="0" applyFont="1" applyFill="1" applyBorder="1" applyAlignment="1">
      <alignment horizontal="center" wrapText="1"/>
    </xf>
    <xf numFmtId="0" fontId="1" fillId="19" borderId="49" xfId="0" applyFont="1" applyFill="1" applyBorder="1" applyAlignment="1">
      <alignment horizontal="center" wrapText="1"/>
    </xf>
    <xf numFmtId="0" fontId="1" fillId="19" borderId="61" xfId="0" applyFont="1" applyFill="1" applyBorder="1" applyAlignment="1">
      <alignment horizontal="center" wrapText="1"/>
    </xf>
    <xf numFmtId="0" fontId="4" fillId="40" borderId="62" xfId="0" applyFont="1" applyFill="1" applyBorder="1" applyAlignment="1">
      <alignment horizontal="center" vertical="center"/>
    </xf>
    <xf numFmtId="0" fontId="4" fillId="40" borderId="63" xfId="0" applyFont="1" applyFill="1" applyBorder="1" applyAlignment="1">
      <alignment horizontal="center" vertical="center"/>
    </xf>
    <xf numFmtId="0" fontId="4" fillId="40" borderId="64" xfId="0" applyFont="1" applyFill="1" applyBorder="1" applyAlignment="1">
      <alignment horizontal="center" vertical="center"/>
    </xf>
    <xf numFmtId="0" fontId="15" fillId="36" borderId="32" xfId="0" applyFont="1" applyFill="1" applyBorder="1" applyAlignment="1">
      <alignment horizontal="center" vertical="center" textRotation="7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F00"/>
      <rgbColor rgb="00757575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Fixkosten pro Jahr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75"/>
          <c:w val="0.9557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757575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757575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Maschinenkosten!$C$20:$C$22</c:f>
              <c:strCache/>
            </c:strRef>
          </c:cat>
          <c:val>
            <c:numRef>
              <c:f>Maschinenkosten!$D$20:$D$22</c:f>
              <c:numCache/>
            </c:numRef>
          </c:val>
        </c:ser>
        <c:axId val="52502190"/>
        <c:axId val="2757663"/>
      </c:barChart>
      <c:catAx>
        <c:axId val="52502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7663"/>
        <c:crossesAt val="0"/>
        <c:auto val="1"/>
        <c:lblOffset val="100"/>
        <c:tickLblSkip val="1"/>
        <c:noMultiLvlLbl val="0"/>
      </c:catAx>
      <c:valAx>
        <c:axId val="2757663"/>
        <c:scaling>
          <c:orientation val="minMax"/>
        </c:scaling>
        <c:axPos val="l"/>
        <c:delete val="0"/>
        <c:numFmt formatCode="#,##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2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Variable Kosten pro Betriebsstunde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24375"/>
          <c:w val="0.91275"/>
          <c:h val="0.71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8080FF"/>
                </a:gs>
                <a:gs pos="100000">
                  <a:srgbClr val="757575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757575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Maschinenkosten!$C$27:$C$29</c:f>
              <c:strCache/>
            </c:strRef>
          </c:cat>
          <c:val>
            <c:numRef>
              <c:f>Maschinenkosten!$D$27:$D$29</c:f>
              <c:numCache/>
            </c:numRef>
          </c:val>
        </c:ser>
        <c:axId val="24818968"/>
        <c:axId val="22044121"/>
      </c:barChart>
      <c:catAx>
        <c:axId val="2481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44121"/>
        <c:crossesAt val="0"/>
        <c:auto val="1"/>
        <c:lblOffset val="100"/>
        <c:tickLblSkip val="1"/>
        <c:noMultiLvlLbl val="0"/>
      </c:catAx>
      <c:valAx>
        <c:axId val="22044121"/>
        <c:scaling>
          <c:orientation val="minMax"/>
        </c:scaling>
        <c:axPos val="l"/>
        <c:delete val="0"/>
        <c:numFmt formatCode="#,##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18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Kosten pro Stunde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625"/>
          <c:y val="0.47025"/>
          <c:w val="0.0745"/>
          <c:h val="0.2485"/>
        </c:manualLayout>
      </c:layout>
      <c:pieChart>
        <c:varyColors val="1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Maschinenkosten!$B$52:$B$53</c:f>
              <c:strCache/>
            </c:strRef>
          </c:cat>
          <c:val>
            <c:numRef>
              <c:f>Maschinenkosten!$C$52:$C$53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Stundenkosten bei unterschiedlicher Maschinenauslastung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075"/>
          <c:w val="0.952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'versch_ Auslastungen Übersicht'!$A$6:$A$25</c:f>
              <c:numCache/>
            </c:numRef>
          </c:cat>
          <c:val>
            <c:numRef>
              <c:f>'versch_ Auslastungen Übersicht'!$B$6:$B$25</c:f>
              <c:numCache/>
            </c:numRef>
          </c:val>
        </c:ser>
        <c:axId val="64179362"/>
        <c:axId val="40743347"/>
      </c:barChart>
      <c:catAx>
        <c:axId val="64179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Einsatzstunden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43347"/>
        <c:crossesAt val="0"/>
        <c:auto val="1"/>
        <c:lblOffset val="100"/>
        <c:tickLblSkip val="1"/>
        <c:noMultiLvlLbl val="0"/>
      </c:catAx>
      <c:valAx>
        <c:axId val="40743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Gesamtkosten in 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93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Vergleich: Eigenmechanisierung - MR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35"/>
          <c:w val="0.95225"/>
          <c:h val="0.77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'versch_ Auslastungen Übersicht'!$A$6:$A$25</c:f>
              <c:numCache/>
            </c:numRef>
          </c:cat>
          <c:val>
            <c:numRef>
              <c:f>'versch_ Auslastungen Übersicht'!$E$6:$E$25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'versch_ Auslastungen Übersicht'!$A$6:$A$25</c:f>
              <c:numCache/>
            </c:numRef>
          </c:cat>
          <c:val>
            <c:numRef>
              <c:f>'versch_ Auslastungen Übersicht'!$F$6:$F$25</c:f>
              <c:numCache/>
            </c:numRef>
          </c:val>
          <c:smooth val="0"/>
        </c:ser>
        <c:marker val="1"/>
        <c:axId val="31145804"/>
        <c:axId val="11876781"/>
      </c:lineChart>
      <c:catAx>
        <c:axId val="3114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Einsatzstunden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6781"/>
        <c:crossesAt val="0"/>
        <c:auto val="1"/>
        <c:lblOffset val="100"/>
        <c:tickLblSkip val="1"/>
        <c:noMultiLvlLbl val="0"/>
      </c:catAx>
      <c:valAx>
        <c:axId val="1187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Kosten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458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0</xdr:rowOff>
    </xdr:from>
    <xdr:to>
      <xdr:col>3</xdr:col>
      <xdr:colOff>504825</xdr:colOff>
      <xdr:row>50</xdr:row>
      <xdr:rowOff>0</xdr:rowOff>
    </xdr:to>
    <xdr:graphicFrame>
      <xdr:nvGraphicFramePr>
        <xdr:cNvPr id="1" name="Chart 2"/>
        <xdr:cNvGraphicFramePr/>
      </xdr:nvGraphicFramePr>
      <xdr:xfrm>
        <a:off x="762000" y="7162800"/>
        <a:ext cx="43815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35</xdr:row>
      <xdr:rowOff>0</xdr:rowOff>
    </xdr:from>
    <xdr:to>
      <xdr:col>7</xdr:col>
      <xdr:colOff>47625</xdr:colOff>
      <xdr:row>50</xdr:row>
      <xdr:rowOff>0</xdr:rowOff>
    </xdr:to>
    <xdr:graphicFrame>
      <xdr:nvGraphicFramePr>
        <xdr:cNvPr id="2" name="Chart 3"/>
        <xdr:cNvGraphicFramePr/>
      </xdr:nvGraphicFramePr>
      <xdr:xfrm>
        <a:off x="5467350" y="7162800"/>
        <a:ext cx="24765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1266825</xdr:colOff>
      <xdr:row>51</xdr:row>
      <xdr:rowOff>0</xdr:rowOff>
    </xdr:from>
    <xdr:to>
      <xdr:col>6</xdr:col>
      <xdr:colOff>0</xdr:colOff>
      <xdr:row>60</xdr:row>
      <xdr:rowOff>85725</xdr:rowOff>
    </xdr:to>
    <xdr:graphicFrame>
      <xdr:nvGraphicFramePr>
        <xdr:cNvPr id="3" name="Chart 4"/>
        <xdr:cNvGraphicFramePr/>
      </xdr:nvGraphicFramePr>
      <xdr:xfrm>
        <a:off x="2028825" y="9753600"/>
        <a:ext cx="4953000" cy="154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0</xdr:rowOff>
    </xdr:from>
    <xdr:to>
      <xdr:col>11</xdr:col>
      <xdr:colOff>85725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9525" y="4752975"/>
        <a:ext cx="84582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11</xdr:col>
      <xdr:colOff>76200</xdr:colOff>
      <xdr:row>74</xdr:row>
      <xdr:rowOff>0</xdr:rowOff>
    </xdr:to>
    <xdr:graphicFrame>
      <xdr:nvGraphicFramePr>
        <xdr:cNvPr id="2" name="Chart 2"/>
        <xdr:cNvGraphicFramePr/>
      </xdr:nvGraphicFramePr>
      <xdr:xfrm>
        <a:off x="0" y="8963025"/>
        <a:ext cx="84582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466725</xdr:colOff>
      <xdr:row>58</xdr:row>
      <xdr:rowOff>123825</xdr:rowOff>
    </xdr:from>
    <xdr:to>
      <xdr:col>13</xdr:col>
      <xdr:colOff>276225</xdr:colOff>
      <xdr:row>65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324725" y="9896475"/>
          <a:ext cx="2857500" cy="1009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22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Eigenmechanisierung
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Maschinenring
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.erber@tsn.at?subject=Einzelmaschinenkosten" TargetMode="External" /><Relationship Id="rId2" Type="http://schemas.openxmlformats.org/officeDocument/2006/relationships/hyperlink" Target="http://oekl.at/richtwerte-online/" TargetMode="External" /><Relationship Id="rId3" Type="http://schemas.openxmlformats.org/officeDocument/2006/relationships/hyperlink" Target="http://blrw.twoday.net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GridLines="0" showRowColHeaders="0" tabSelected="1" defaultGridColor="0" zoomScale="75" zoomScaleNormal="75" zoomScaleSheetLayoutView="33" zoomScalePageLayoutView="0" colorId="57" workbookViewId="0" topLeftCell="A1">
      <selection activeCell="C6" sqref="C6"/>
    </sheetView>
  </sheetViews>
  <sheetFormatPr defaultColWidth="11.421875" defaultRowHeight="12.75"/>
  <cols>
    <col min="1" max="1" width="11.421875" style="1" customWidth="1"/>
    <col min="2" max="2" width="30.7109375" style="1" customWidth="1"/>
    <col min="3" max="3" width="27.421875" style="1" customWidth="1"/>
    <col min="4" max="4" width="12.421875" style="1" customWidth="1"/>
    <col min="5" max="5" width="6.421875" style="1" customWidth="1"/>
    <col min="6" max="6" width="16.28125" style="1" customWidth="1"/>
    <col min="7" max="7" width="13.7109375" style="1" customWidth="1"/>
    <col min="8" max="8" width="41.421875" style="1" customWidth="1"/>
    <col min="9" max="9" width="8.7109375" style="1" customWidth="1"/>
    <col min="10" max="10" width="13.28125" style="1" customWidth="1"/>
    <col min="11" max="11" width="1.7109375" style="1" customWidth="1"/>
    <col min="12" max="16384" width="11.421875" style="1" customWidth="1"/>
  </cols>
  <sheetData>
    <row r="1" spans="1:9" ht="19.5" customHeight="1" thickBot="1" thickTop="1">
      <c r="A1" s="110" t="s">
        <v>0</v>
      </c>
      <c r="B1" s="110"/>
      <c r="C1" s="110"/>
      <c r="D1" s="110"/>
      <c r="F1" s="2" t="s">
        <v>1</v>
      </c>
      <c r="G1" s="3">
        <f ca="1">YEAR(TODAY())</f>
        <v>2014</v>
      </c>
      <c r="I1" s="68" t="s">
        <v>18</v>
      </c>
    </row>
    <row r="2" spans="2:9" s="4" customFormat="1" ht="16.5" customHeight="1" thickTop="1">
      <c r="B2" s="117" t="s">
        <v>94</v>
      </c>
      <c r="C2" s="118"/>
      <c r="D2" s="118"/>
      <c r="E2" s="118"/>
      <c r="F2" s="118"/>
      <c r="G2" s="119"/>
      <c r="H2" s="77" t="s">
        <v>87</v>
      </c>
      <c r="I2" s="69" t="s">
        <v>84</v>
      </c>
    </row>
    <row r="3" spans="8:9" ht="15" customHeight="1" thickBot="1">
      <c r="H3" s="109" t="s">
        <v>129</v>
      </c>
      <c r="I3" s="71"/>
    </row>
    <row r="4" spans="1:8" ht="22.5" customHeight="1">
      <c r="A4" s="5"/>
      <c r="B4" s="94" t="s">
        <v>5</v>
      </c>
      <c r="C4" s="112" t="s">
        <v>88</v>
      </c>
      <c r="D4" s="113"/>
      <c r="E4" s="95"/>
      <c r="F4" s="114" t="s">
        <v>92</v>
      </c>
      <c r="G4" s="115"/>
      <c r="H4" s="116"/>
    </row>
    <row r="5" spans="2:8" ht="28.5" customHeight="1">
      <c r="B5" s="96" t="s">
        <v>8</v>
      </c>
      <c r="C5" s="81">
        <v>2001</v>
      </c>
      <c r="D5" s="6">
        <f>IF((Derzeit-Anschaffungsjahr)&gt;Nutzungsdauer,"abgeschrieben","")</f>
      </c>
      <c r="E5" s="7"/>
      <c r="F5" s="89" t="s">
        <v>6</v>
      </c>
      <c r="G5" s="80"/>
      <c r="H5" s="97" t="s">
        <v>7</v>
      </c>
    </row>
    <row r="6" spans="2:8" ht="25.5">
      <c r="B6" s="98" t="s">
        <v>9</v>
      </c>
      <c r="C6" s="82">
        <v>15000</v>
      </c>
      <c r="D6" s="8" t="s">
        <v>10</v>
      </c>
      <c r="E6" s="7"/>
      <c r="F6" s="90"/>
      <c r="G6" s="78">
        <f>IF(MR...Tarif="","",Jahresfixkosten/(MR...Tarif-StundenVariableKosten))</f>
      </c>
      <c r="H6" s="99" t="s">
        <v>89</v>
      </c>
    </row>
    <row r="7" spans="2:8" ht="15">
      <c r="B7" s="98" t="s">
        <v>20</v>
      </c>
      <c r="C7" s="85">
        <v>15</v>
      </c>
      <c r="D7" s="10" t="s">
        <v>21</v>
      </c>
      <c r="E7" s="7"/>
      <c r="F7" s="90"/>
      <c r="G7" s="78"/>
      <c r="H7" s="99"/>
    </row>
    <row r="8" spans="2:8" ht="17.25" customHeight="1">
      <c r="B8" s="98" t="s">
        <v>12</v>
      </c>
      <c r="C8" s="82">
        <v>4000</v>
      </c>
      <c r="D8" s="8" t="s">
        <v>10</v>
      </c>
      <c r="E8" s="7"/>
      <c r="F8" s="91" t="s">
        <v>93</v>
      </c>
      <c r="G8" s="79"/>
      <c r="H8" s="101"/>
    </row>
    <row r="9" spans="2:8" ht="17.25" customHeight="1">
      <c r="B9" s="98" t="s">
        <v>15</v>
      </c>
      <c r="C9" s="83">
        <f>Anschaffungswert*POWER((1+geschätzte_Inflation),Nutzungsdauer)</f>
        <v>20188.02507486194</v>
      </c>
      <c r="D9" s="8"/>
      <c r="E9" s="7"/>
      <c r="F9" s="91"/>
      <c r="G9" s="79">
        <f>IF(G5&lt;&gt;0,CONCATENATE("…pro Stunde (",Betriebsstunden,") um ",H13," % ",H14),"")</f>
      </c>
      <c r="H9" s="101"/>
    </row>
    <row r="10" spans="2:8" ht="17.25" customHeight="1" thickBot="1">
      <c r="B10" s="98" t="s">
        <v>16</v>
      </c>
      <c r="C10" s="84">
        <v>0.02</v>
      </c>
      <c r="D10" s="8"/>
      <c r="E10" s="7"/>
      <c r="F10" s="92"/>
      <c r="G10" s="93">
        <f>IF(H15&lt;0,CONCATENATE("…mögliche Ersparnis pro Jahr beträgt ",H15*-1," Euro"),"")</f>
      </c>
      <c r="H10" s="102"/>
    </row>
    <row r="11" spans="2:8" ht="17.25" customHeight="1" thickBot="1" thickTop="1">
      <c r="B11" s="98" t="s">
        <v>17</v>
      </c>
      <c r="C11" s="85">
        <v>0</v>
      </c>
      <c r="D11" s="70">
        <v>2</v>
      </c>
      <c r="E11" s="7"/>
      <c r="F11" s="92" t="s">
        <v>95</v>
      </c>
      <c r="G11" s="92"/>
      <c r="H11" s="92"/>
    </row>
    <row r="12" spans="2:8" ht="17.25" customHeight="1" thickTop="1">
      <c r="B12" s="98" t="s">
        <v>24</v>
      </c>
      <c r="C12" s="85">
        <v>80</v>
      </c>
      <c r="D12" s="10" t="s">
        <v>25</v>
      </c>
      <c r="E12" s="7"/>
      <c r="F12" s="7"/>
      <c r="G12" s="7"/>
      <c r="H12" s="100"/>
    </row>
    <row r="13" spans="2:8" ht="17.25" customHeight="1">
      <c r="B13" s="98" t="s">
        <v>90</v>
      </c>
      <c r="C13" s="82">
        <v>1.19</v>
      </c>
      <c r="D13" s="10" t="s">
        <v>11</v>
      </c>
      <c r="E13" s="7"/>
      <c r="F13" s="7"/>
      <c r="G13" s="7"/>
      <c r="H13" s="103">
        <f>ROUND(MR...Tarif/Stundenkosten%-100,0)</f>
        <v>-100</v>
      </c>
    </row>
    <row r="14" spans="2:8" ht="17.25" customHeight="1">
      <c r="B14" s="98" t="s">
        <v>13</v>
      </c>
      <c r="C14" s="86">
        <f>IF(D11=2,Leistung/10,Leistung/7.36)</f>
        <v>0</v>
      </c>
      <c r="D14" s="10" t="s">
        <v>14</v>
      </c>
      <c r="E14" s="7"/>
      <c r="F14" s="7"/>
      <c r="G14" s="7"/>
      <c r="H14" s="103" t="str">
        <f>IF(H13&gt;=0,"günstiger","teurer")</f>
        <v>teurer</v>
      </c>
    </row>
    <row r="15" spans="2:8" ht="17.25" customHeight="1">
      <c r="B15" s="98" t="s">
        <v>19</v>
      </c>
      <c r="C15" s="87">
        <v>0.03</v>
      </c>
      <c r="D15" s="10" t="s">
        <v>91</v>
      </c>
      <c r="E15" s="7"/>
      <c r="F15" s="7"/>
      <c r="G15" s="7"/>
      <c r="H15" s="103">
        <f>ROUND(Jahreskosten-MR...Tarif*Betriebsstunden,0)</f>
        <v>2114</v>
      </c>
    </row>
    <row r="16" spans="2:8" ht="17.25" customHeight="1">
      <c r="B16" s="98" t="s">
        <v>22</v>
      </c>
      <c r="C16" s="88">
        <v>0.01</v>
      </c>
      <c r="D16" s="10" t="s">
        <v>23</v>
      </c>
      <c r="E16" s="7"/>
      <c r="F16" s="7"/>
      <c r="G16" s="7"/>
      <c r="H16" s="100"/>
    </row>
    <row r="17" spans="2:8" ht="17.25" customHeight="1" thickBot="1">
      <c r="B17" s="104" t="s">
        <v>26</v>
      </c>
      <c r="C17" s="105">
        <v>0.05</v>
      </c>
      <c r="D17" s="106" t="s">
        <v>85</v>
      </c>
      <c r="E17" s="107"/>
      <c r="F17" s="107"/>
      <c r="G17" s="107"/>
      <c r="H17" s="108"/>
    </row>
    <row r="18" spans="1:8" ht="13.5" thickBot="1">
      <c r="A18" s="11"/>
      <c r="B18" s="11"/>
      <c r="C18" s="11"/>
      <c r="D18" s="11"/>
      <c r="E18" s="11"/>
      <c r="F18" s="11"/>
      <c r="G18" s="11"/>
      <c r="H18" s="11"/>
    </row>
    <row r="19" spans="1:9" ht="13.5" thickTop="1">
      <c r="A19" s="11"/>
      <c r="B19" s="12" t="s">
        <v>27</v>
      </c>
      <c r="C19" s="13"/>
      <c r="D19" s="14"/>
      <c r="E19" s="15"/>
      <c r="F19" s="15"/>
      <c r="G19" s="15"/>
      <c r="H19" s="74" t="s">
        <v>86</v>
      </c>
      <c r="I19" s="72"/>
    </row>
    <row r="20" spans="1:9" ht="12.75">
      <c r="A20" s="11"/>
      <c r="B20" s="16"/>
      <c r="C20" s="17" t="s">
        <v>28</v>
      </c>
      <c r="D20" s="9">
        <f>IF(abgeschrieben?="abgeschrieben",0,(Wiederbeschaffungswert-Restwert)/Nutzungsdauer)</f>
        <v>1079.2016716574626</v>
      </c>
      <c r="E20" s="18"/>
      <c r="F20" s="17"/>
      <c r="G20" s="17"/>
      <c r="H20" s="76" t="s">
        <v>2</v>
      </c>
      <c r="I20" s="72"/>
    </row>
    <row r="21" spans="1:9" ht="12.75">
      <c r="A21" s="11"/>
      <c r="B21" s="16"/>
      <c r="C21" s="17" t="s">
        <v>29</v>
      </c>
      <c r="D21" s="9">
        <f>IF(D5="abgeschrieben",Restwert*Verzinsung,((Anschaffungswert+Restwert)/2)*Verzinsung)</f>
        <v>285</v>
      </c>
      <c r="E21" s="17"/>
      <c r="F21" s="17"/>
      <c r="G21" s="17"/>
      <c r="H21" s="76" t="s">
        <v>3</v>
      </c>
      <c r="I21" s="73"/>
    </row>
    <row r="22" spans="1:9" ht="13.5" thickBot="1">
      <c r="A22" s="11"/>
      <c r="B22" s="16"/>
      <c r="C22" s="17" t="s">
        <v>30</v>
      </c>
      <c r="D22" s="9">
        <f>Anschaffungswert*Unterbringung</f>
        <v>150</v>
      </c>
      <c r="E22" s="17"/>
      <c r="F22" s="17"/>
      <c r="G22" s="17"/>
      <c r="H22" s="75" t="s">
        <v>4</v>
      </c>
      <c r="I22" s="72"/>
    </row>
    <row r="23" spans="1:8" ht="12.75">
      <c r="A23" s="11"/>
      <c r="B23" s="16"/>
      <c r="C23" s="17" t="s">
        <v>31</v>
      </c>
      <c r="D23" s="19"/>
      <c r="E23" s="17"/>
      <c r="F23" s="17"/>
      <c r="G23" s="20">
        <f>Afa+Zinsen+UV</f>
        <v>1514.2016716574626</v>
      </c>
      <c r="H23" s="11"/>
    </row>
    <row r="24" spans="1:8" ht="12.75">
      <c r="A24" s="11"/>
      <c r="B24" s="21" t="s">
        <v>32</v>
      </c>
      <c r="C24" s="22"/>
      <c r="D24" s="23">
        <f>Jahresfixkosten/Betriebsstunden</f>
        <v>18.92752089571828</v>
      </c>
      <c r="E24" s="22"/>
      <c r="F24" s="22"/>
      <c r="G24" s="24"/>
      <c r="H24" s="11"/>
    </row>
    <row r="25" spans="1:18" ht="12.75">
      <c r="A25" s="11"/>
      <c r="B25" s="11"/>
      <c r="C25" s="11"/>
      <c r="D25" s="25"/>
      <c r="E25" s="11"/>
      <c r="F25" s="11"/>
      <c r="G25" s="25"/>
      <c r="H25" s="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</row>
    <row r="26" spans="1:8" ht="12.75">
      <c r="A26" s="11"/>
      <c r="B26" s="26" t="s">
        <v>33</v>
      </c>
      <c r="C26" s="27"/>
      <c r="D26" s="14"/>
      <c r="E26" s="15"/>
      <c r="F26" s="15"/>
      <c r="G26" s="28"/>
      <c r="H26" s="11"/>
    </row>
    <row r="27" spans="1:8" ht="12.75">
      <c r="A27" s="11"/>
      <c r="B27" s="16"/>
      <c r="C27" s="17" t="s">
        <v>34</v>
      </c>
      <c r="D27" s="9">
        <f>Dieselpreis*Stundenverbrauch</f>
        <v>0</v>
      </c>
      <c r="E27" s="29"/>
      <c r="F27" s="17"/>
      <c r="G27" s="30"/>
      <c r="H27" s="11"/>
    </row>
    <row r="28" spans="1:8" ht="12.75">
      <c r="A28" s="11"/>
      <c r="B28" s="16"/>
      <c r="C28" s="17" t="s">
        <v>35</v>
      </c>
      <c r="D28" s="9">
        <f>Treibstoffkosten*20%</f>
        <v>0</v>
      </c>
      <c r="E28" s="17">
        <v>20</v>
      </c>
      <c r="F28" s="17" t="s">
        <v>36</v>
      </c>
      <c r="G28" s="30"/>
      <c r="H28" s="11"/>
    </row>
    <row r="29" spans="1:8" ht="12.75">
      <c r="A29" s="11"/>
      <c r="B29" s="16"/>
      <c r="C29" s="17" t="s">
        <v>37</v>
      </c>
      <c r="D29" s="9">
        <f>Anschaffungswert*Reparaturen/100</f>
        <v>7.5</v>
      </c>
      <c r="E29" s="17"/>
      <c r="F29" s="17"/>
      <c r="G29" s="30"/>
      <c r="H29" s="11"/>
    </row>
    <row r="30" spans="1:8" ht="12.75">
      <c r="A30" s="11"/>
      <c r="B30" s="16"/>
      <c r="C30" s="17" t="s">
        <v>31</v>
      </c>
      <c r="D30" s="31">
        <f>Treibstoffkosten+Schmiermittelkosten+Reparaturkosten</f>
        <v>7.5</v>
      </c>
      <c r="E30" s="17"/>
      <c r="F30" s="17"/>
      <c r="G30" s="30"/>
      <c r="H30" s="11"/>
    </row>
    <row r="31" spans="1:8" ht="12.75">
      <c r="A31" s="11"/>
      <c r="B31" s="32" t="s">
        <v>38</v>
      </c>
      <c r="C31" s="22"/>
      <c r="D31" s="33"/>
      <c r="E31" s="22"/>
      <c r="F31" s="22"/>
      <c r="G31" s="34">
        <f>StundenVariableKosten*Betriebsstunden</f>
        <v>600</v>
      </c>
      <c r="H31" s="11"/>
    </row>
    <row r="32" spans="1:8" ht="12.75">
      <c r="A32" s="11"/>
      <c r="B32" s="11"/>
      <c r="C32" s="11"/>
      <c r="D32" s="25"/>
      <c r="E32" s="11"/>
      <c r="F32" s="11"/>
      <c r="G32" s="25"/>
      <c r="H32" s="11"/>
    </row>
    <row r="33" spans="1:8" ht="21.75" customHeight="1">
      <c r="A33" s="11"/>
      <c r="B33" s="35" t="s">
        <v>39</v>
      </c>
      <c r="C33" s="36"/>
      <c r="D33" s="37">
        <f>Stundenfixkosten+StundenVariableKosten</f>
        <v>26.42752089571828</v>
      </c>
      <c r="E33" s="36"/>
      <c r="F33" s="36"/>
      <c r="G33" s="38"/>
      <c r="H33" s="11"/>
    </row>
    <row r="34" spans="1:8" ht="21" customHeight="1">
      <c r="A34" s="11"/>
      <c r="B34" s="39" t="s">
        <v>40</v>
      </c>
      <c r="C34" s="40"/>
      <c r="D34" s="41"/>
      <c r="E34" s="40"/>
      <c r="F34" s="40"/>
      <c r="G34" s="42">
        <f>Jahresfixkosten+JahresVariableKosten</f>
        <v>2114.2016716574626</v>
      </c>
      <c r="H34" s="11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2.75">
      <c r="A36" s="11"/>
      <c r="B36" s="11"/>
      <c r="C36" s="11"/>
      <c r="D36" s="11"/>
      <c r="E36" s="11"/>
      <c r="F36" s="11"/>
      <c r="G36" s="11"/>
      <c r="H36" s="11"/>
    </row>
    <row r="37" spans="1:8" ht="12.75">
      <c r="A37" s="11"/>
      <c r="B37" s="11"/>
      <c r="C37" s="11"/>
      <c r="D37" s="11"/>
      <c r="E37" s="11"/>
      <c r="F37" s="11"/>
      <c r="G37" s="11"/>
      <c r="H37" s="11"/>
    </row>
    <row r="38" spans="1:8" ht="12.75">
      <c r="A38" s="11"/>
      <c r="B38" s="11"/>
      <c r="C38" s="11"/>
      <c r="D38" s="11"/>
      <c r="E38" s="11"/>
      <c r="F38" s="11"/>
      <c r="G38" s="11"/>
      <c r="H38" s="11"/>
    </row>
    <row r="39" spans="1:8" ht="12.75">
      <c r="A39" s="11"/>
      <c r="B39" s="11"/>
      <c r="C39" s="11"/>
      <c r="D39" s="11"/>
      <c r="E39" s="11"/>
      <c r="F39" s="11"/>
      <c r="G39" s="11"/>
      <c r="H39" s="11"/>
    </row>
    <row r="40" spans="1:8" ht="12.75">
      <c r="A40" s="11"/>
      <c r="B40" s="11"/>
      <c r="C40" s="11"/>
      <c r="D40" s="11"/>
      <c r="E40" s="11"/>
      <c r="F40" s="11"/>
      <c r="G40" s="11"/>
      <c r="H40" s="11"/>
    </row>
    <row r="41" spans="1:8" ht="12.75">
      <c r="A41" s="11"/>
      <c r="B41" s="11"/>
      <c r="C41" s="11"/>
      <c r="D41" s="11"/>
      <c r="E41" s="11"/>
      <c r="F41" s="11"/>
      <c r="G41" s="11"/>
      <c r="H41" s="11"/>
    </row>
    <row r="42" spans="1:8" ht="12.75">
      <c r="A42" s="11"/>
      <c r="B42" s="11"/>
      <c r="C42" s="11"/>
      <c r="D42" s="11"/>
      <c r="E42" s="11"/>
      <c r="F42" s="11"/>
      <c r="G42" s="11"/>
      <c r="H42" s="11"/>
    </row>
    <row r="43" spans="1:8" ht="12.75">
      <c r="A43" s="11"/>
      <c r="B43" s="11"/>
      <c r="C43" s="11"/>
      <c r="D43" s="11"/>
      <c r="E43" s="11"/>
      <c r="F43" s="11"/>
      <c r="G43" s="11"/>
      <c r="H43" s="11"/>
    </row>
    <row r="44" spans="1:8" ht="12.75">
      <c r="A44" s="11"/>
      <c r="B44" s="11"/>
      <c r="C44" s="11"/>
      <c r="D44" s="11"/>
      <c r="E44" s="11"/>
      <c r="F44" s="11"/>
      <c r="G44" s="11"/>
      <c r="H44" s="11"/>
    </row>
    <row r="45" spans="1:8" ht="12.75">
      <c r="A45" s="11"/>
      <c r="B45" s="11"/>
      <c r="C45" s="11"/>
      <c r="D45" s="11"/>
      <c r="E45" s="11"/>
      <c r="F45" s="11"/>
      <c r="G45" s="11"/>
      <c r="H45" s="11"/>
    </row>
    <row r="46" spans="1:8" ht="12.75">
      <c r="A46" s="11"/>
      <c r="B46" s="11"/>
      <c r="C46" s="11"/>
      <c r="D46" s="11"/>
      <c r="E46" s="11"/>
      <c r="F46" s="11"/>
      <c r="G46" s="11"/>
      <c r="H46" s="11"/>
    </row>
    <row r="47" spans="1:8" ht="12.75">
      <c r="A47" s="11"/>
      <c r="B47" s="11"/>
      <c r="C47" s="11"/>
      <c r="D47" s="11"/>
      <c r="E47" s="11"/>
      <c r="F47" s="11"/>
      <c r="G47" s="11"/>
      <c r="H47" s="11"/>
    </row>
    <row r="48" spans="1:8" ht="12.75">
      <c r="A48" s="11"/>
      <c r="B48" s="11"/>
      <c r="C48" s="11"/>
      <c r="D48" s="11"/>
      <c r="E48" s="11"/>
      <c r="F48" s="11"/>
      <c r="G48" s="11"/>
      <c r="H48" s="11"/>
    </row>
    <row r="49" spans="1:8" ht="12.75">
      <c r="A49" s="11"/>
      <c r="B49" s="11"/>
      <c r="C49" s="11"/>
      <c r="D49" s="11"/>
      <c r="E49" s="11"/>
      <c r="F49" s="11"/>
      <c r="G49" s="11"/>
      <c r="H49" s="11"/>
    </row>
    <row r="50" spans="1:8" ht="12.75">
      <c r="A50" s="11"/>
      <c r="B50" s="11"/>
      <c r="C50" s="11"/>
      <c r="D50" s="11"/>
      <c r="E50" s="11"/>
      <c r="F50" s="11"/>
      <c r="G50" s="11"/>
      <c r="H50" s="11"/>
    </row>
    <row r="51" spans="1:8" ht="12.75">
      <c r="A51" s="11"/>
      <c r="B51" s="11"/>
      <c r="C51" s="11"/>
      <c r="D51" s="11"/>
      <c r="E51" s="11"/>
      <c r="F51" s="11"/>
      <c r="G51" s="11"/>
      <c r="H51" s="11"/>
    </row>
    <row r="52" spans="1:8" ht="12.75">
      <c r="A52" s="11"/>
      <c r="B52" s="43" t="s">
        <v>41</v>
      </c>
      <c r="C52" s="44">
        <f>D24</f>
        <v>18.92752089571828</v>
      </c>
      <c r="D52" s="11"/>
      <c r="E52" s="11"/>
      <c r="F52" s="11"/>
      <c r="G52" s="11"/>
      <c r="H52" s="11"/>
    </row>
    <row r="53" spans="1:8" ht="12.75">
      <c r="A53" s="11"/>
      <c r="B53" s="43" t="s">
        <v>42</v>
      </c>
      <c r="C53" s="44">
        <f>D30</f>
        <v>7.5</v>
      </c>
      <c r="D53" s="11"/>
      <c r="E53" s="11"/>
      <c r="F53" s="11"/>
      <c r="G53" s="11"/>
      <c r="H53" s="11"/>
    </row>
    <row r="54" spans="1:8" ht="12.75">
      <c r="A54" s="11"/>
      <c r="B54" s="11"/>
      <c r="C54" s="11"/>
      <c r="D54" s="11"/>
      <c r="E54" s="11"/>
      <c r="F54" s="11"/>
      <c r="G54" s="11"/>
      <c r="H54" s="11"/>
    </row>
    <row r="55" spans="1:8" ht="12.75">
      <c r="A55" s="11"/>
      <c r="B55" s="11"/>
      <c r="C55" s="11"/>
      <c r="D55" s="11"/>
      <c r="E55" s="11"/>
      <c r="F55" s="11"/>
      <c r="G55" s="11"/>
      <c r="H55" s="11"/>
    </row>
    <row r="56" spans="1:8" ht="12.75">
      <c r="A56" s="11"/>
      <c r="B56" s="11"/>
      <c r="C56" s="11"/>
      <c r="D56" s="11"/>
      <c r="E56" s="11"/>
      <c r="F56" s="11"/>
      <c r="G56" s="11"/>
      <c r="H56" s="11"/>
    </row>
    <row r="57" spans="1:8" ht="12.75">
      <c r="A57" s="11"/>
      <c r="B57" s="11"/>
      <c r="C57" s="11"/>
      <c r="D57" s="11"/>
      <c r="E57" s="11"/>
      <c r="F57" s="11"/>
      <c r="G57" s="11"/>
      <c r="H57" s="11"/>
    </row>
    <row r="58" spans="1:8" ht="12.75">
      <c r="A58" s="11"/>
      <c r="B58" s="11"/>
      <c r="C58" s="11"/>
      <c r="D58" s="11"/>
      <c r="E58" s="11"/>
      <c r="F58" s="11"/>
      <c r="G58" s="11"/>
      <c r="H58" s="11"/>
    </row>
    <row r="59" spans="1:8" ht="12.75">
      <c r="A59" s="11"/>
      <c r="B59" s="11"/>
      <c r="C59" s="11"/>
      <c r="D59" s="11"/>
      <c r="E59" s="11"/>
      <c r="F59" s="11"/>
      <c r="G59" s="11"/>
      <c r="H59" s="11"/>
    </row>
    <row r="60" spans="1:8" ht="12.75">
      <c r="A60" s="11"/>
      <c r="B60" s="11"/>
      <c r="C60" s="11"/>
      <c r="D60" s="11"/>
      <c r="E60" s="11"/>
      <c r="F60" s="11"/>
      <c r="G60" s="11"/>
      <c r="H60" s="11"/>
    </row>
    <row r="61" spans="1:8" ht="12.75">
      <c r="A61" s="11"/>
      <c r="B61" s="11"/>
      <c r="C61" s="11"/>
      <c r="D61" s="11"/>
      <c r="E61" s="11"/>
      <c r="F61" s="11"/>
      <c r="G61" s="11"/>
      <c r="H61" s="11"/>
    </row>
    <row r="62" spans="1:8" ht="12.75">
      <c r="A62" s="11"/>
      <c r="B62" s="11"/>
      <c r="C62" s="11"/>
      <c r="D62" s="11"/>
      <c r="E62" s="11"/>
      <c r="F62" s="11"/>
      <c r="G62" s="11"/>
      <c r="H62" s="11"/>
    </row>
    <row r="63" spans="1:8" ht="12.75">
      <c r="A63" s="11"/>
      <c r="B63" s="11"/>
      <c r="C63" s="11"/>
      <c r="D63" s="11"/>
      <c r="E63" s="11"/>
      <c r="F63" s="11"/>
      <c r="G63" s="11"/>
      <c r="H63" s="11"/>
    </row>
  </sheetData>
  <sheetProtection sheet="1"/>
  <mergeCells count="5">
    <mergeCell ref="A1:D1"/>
    <mergeCell ref="I25:R25"/>
    <mergeCell ref="C4:D4"/>
    <mergeCell ref="F4:H4"/>
    <mergeCell ref="B2:G2"/>
  </mergeCells>
  <hyperlinks>
    <hyperlink ref="H20" r:id="rId1" display="Fragen?"/>
    <hyperlink ref="H21" r:id="rId2" display="ÖKL-Richtwerte für Maschinenselbstkosten (online)"/>
    <hyperlink ref="H22" r:id="rId3" display="http://blrw.twoday.net/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1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83.7109375" style="0" bestFit="1" customWidth="1"/>
    <col min="3" max="3" width="12.00390625" style="0" bestFit="1" customWidth="1"/>
  </cols>
  <sheetData>
    <row r="1" spans="1:3" ht="12.75">
      <c r="A1" s="45" t="s">
        <v>52</v>
      </c>
      <c r="B1" s="45" t="s">
        <v>53</v>
      </c>
      <c r="C1" s="45"/>
    </row>
    <row r="2" spans="1:2" ht="12.75">
      <c r="A2" t="s">
        <v>54</v>
      </c>
      <c r="B2" t="s">
        <v>96</v>
      </c>
    </row>
    <row r="3" spans="1:2" ht="12.75">
      <c r="A3" t="s">
        <v>55</v>
      </c>
      <c r="B3" t="s">
        <v>97</v>
      </c>
    </row>
    <row r="4" spans="1:2" ht="12.75">
      <c r="A4" t="s">
        <v>98</v>
      </c>
      <c r="B4" t="s">
        <v>99</v>
      </c>
    </row>
    <row r="5" spans="1:2" ht="12.75">
      <c r="A5" t="s">
        <v>100</v>
      </c>
      <c r="B5" t="s">
        <v>101</v>
      </c>
    </row>
    <row r="6" spans="1:2" ht="12.75">
      <c r="A6" t="s">
        <v>102</v>
      </c>
      <c r="B6" t="s">
        <v>103</v>
      </c>
    </row>
    <row r="7" spans="1:2" ht="12.75">
      <c r="A7" t="s">
        <v>104</v>
      </c>
      <c r="B7" t="s">
        <v>105</v>
      </c>
    </row>
    <row r="8" spans="1:2" ht="12.75">
      <c r="A8" t="s">
        <v>106</v>
      </c>
      <c r="B8" t="s">
        <v>107</v>
      </c>
    </row>
    <row r="9" spans="1:2" ht="12.75">
      <c r="A9" t="s">
        <v>108</v>
      </c>
      <c r="B9" t="s">
        <v>109</v>
      </c>
    </row>
    <row r="10" spans="1:2" ht="12.75">
      <c r="A10" t="s">
        <v>110</v>
      </c>
      <c r="B10" t="s">
        <v>111</v>
      </c>
    </row>
    <row r="11" spans="1:2" ht="12.75">
      <c r="A11" t="s">
        <v>112</v>
      </c>
      <c r="B11" t="s">
        <v>113</v>
      </c>
    </row>
    <row r="12" spans="1:2" ht="12.75">
      <c r="A12" t="s">
        <v>114</v>
      </c>
      <c r="B12" t="s">
        <v>115</v>
      </c>
    </row>
    <row r="13" spans="1:2" ht="12.75">
      <c r="A13" t="s">
        <v>116</v>
      </c>
      <c r="B13" t="s">
        <v>117</v>
      </c>
    </row>
    <row r="14" spans="1:2" ht="12.75">
      <c r="A14" t="s">
        <v>59</v>
      </c>
      <c r="B14" t="s">
        <v>56</v>
      </c>
    </row>
    <row r="15" spans="1:2" ht="12.75">
      <c r="A15" t="s">
        <v>118</v>
      </c>
      <c r="B15" t="s">
        <v>57</v>
      </c>
    </row>
    <row r="16" spans="1:2" ht="12.75">
      <c r="A16" t="s">
        <v>62</v>
      </c>
      <c r="B16" t="s">
        <v>58</v>
      </c>
    </row>
    <row r="17" spans="1:2" ht="12.75">
      <c r="A17" t="s">
        <v>119</v>
      </c>
      <c r="B17" t="s">
        <v>60</v>
      </c>
    </row>
    <row r="18" spans="1:2" ht="12.75">
      <c r="A18" t="s">
        <v>66</v>
      </c>
      <c r="B18" t="s">
        <v>61</v>
      </c>
    </row>
    <row r="19" spans="1:2" ht="12.75">
      <c r="A19" t="s">
        <v>120</v>
      </c>
      <c r="B19" t="s">
        <v>63</v>
      </c>
    </row>
    <row r="20" spans="1:2" ht="12.75">
      <c r="A20" t="s">
        <v>121</v>
      </c>
      <c r="B20" t="s">
        <v>64</v>
      </c>
    </row>
    <row r="21" spans="1:2" ht="12.75">
      <c r="A21" t="s">
        <v>122</v>
      </c>
      <c r="B21" t="s">
        <v>65</v>
      </c>
    </row>
    <row r="22" spans="1:2" ht="12.75">
      <c r="A22" t="s">
        <v>123</v>
      </c>
      <c r="B22" t="s">
        <v>67</v>
      </c>
    </row>
    <row r="23" spans="1:2" ht="12.75">
      <c r="A23" t="s">
        <v>124</v>
      </c>
      <c r="B23" t="s">
        <v>68</v>
      </c>
    </row>
    <row r="24" spans="1:2" ht="12.75">
      <c r="A24" t="s">
        <v>125</v>
      </c>
      <c r="B24" t="s">
        <v>126</v>
      </c>
    </row>
    <row r="25" spans="1:2" ht="12.75">
      <c r="A25" t="s">
        <v>127</v>
      </c>
      <c r="B25" t="s">
        <v>128</v>
      </c>
    </row>
  </sheetData>
  <sheetProtection sheet="1" objects="1" scenarios="1"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RowColHeaders="0" defaultGridColor="0" zoomScale="50" zoomScaleNormal="50" zoomScalePageLayoutView="0" colorId="57" workbookViewId="0" topLeftCell="A4">
      <selection activeCell="L19" sqref="L19"/>
    </sheetView>
  </sheetViews>
  <sheetFormatPr defaultColWidth="11.421875" defaultRowHeight="12.75"/>
  <cols>
    <col min="1" max="1" width="11.421875" style="45" customWidth="1"/>
    <col min="2" max="4" width="11.421875" style="46" customWidth="1"/>
    <col min="5" max="5" width="11.421875" style="45" customWidth="1"/>
    <col min="6" max="6" width="11.421875" style="46" customWidth="1"/>
    <col min="7" max="16384" width="11.421875" style="45" customWidth="1"/>
  </cols>
  <sheetData>
    <row r="1" spans="1:6" ht="30" customHeight="1">
      <c r="A1" s="47" t="s">
        <v>43</v>
      </c>
      <c r="B1" s="48"/>
      <c r="C1" s="49"/>
      <c r="D1" s="50"/>
      <c r="E1" s="51"/>
      <c r="F1" s="52"/>
    </row>
    <row r="2" spans="1:6" ht="15" customHeight="1">
      <c r="A2" s="120" t="str">
        <f>Maschinenkosten!C4</f>
        <v>Frontmähwerk 3,1 m</v>
      </c>
      <c r="B2" s="120"/>
      <c r="C2" s="53" t="s">
        <v>44</v>
      </c>
      <c r="D2" s="54">
        <f>Maschinenkosten!G23</f>
        <v>1514.2016716574626</v>
      </c>
      <c r="E2"/>
      <c r="F2" s="52"/>
    </row>
    <row r="3" spans="1:6" ht="23.25" customHeight="1">
      <c r="A3" s="120"/>
      <c r="B3" s="120"/>
      <c r="C3" s="55" t="s">
        <v>42</v>
      </c>
      <c r="D3" s="54">
        <f>Maschinenkosten!D30</f>
        <v>7.5</v>
      </c>
      <c r="E3"/>
      <c r="F3" s="52"/>
    </row>
    <row r="4" spans="1:7" ht="12.75">
      <c r="A4" s="56" t="s">
        <v>45</v>
      </c>
      <c r="B4" s="57" t="s">
        <v>46</v>
      </c>
      <c r="C4" s="57" t="s">
        <v>41</v>
      </c>
      <c r="D4" s="58" t="s">
        <v>42</v>
      </c>
      <c r="E4" s="59" t="s">
        <v>47</v>
      </c>
      <c r="F4" s="60" t="s">
        <v>48</v>
      </c>
      <c r="G4" s="61" t="s">
        <v>49</v>
      </c>
    </row>
    <row r="5" spans="1:7" ht="12.75">
      <c r="A5" s="62">
        <f>Maschinenkosten!C12</f>
        <v>80</v>
      </c>
      <c r="B5" s="63">
        <f>C5+D5</f>
        <v>26.42752089571828</v>
      </c>
      <c r="C5" s="63">
        <f>F/A5</f>
        <v>18.92752089571828</v>
      </c>
      <c r="D5" s="63">
        <f>V</f>
        <v>7.5</v>
      </c>
      <c r="E5" s="64">
        <f>Maschinenkosten!G5</f>
        <v>0</v>
      </c>
      <c r="F5" s="65"/>
      <c r="G5" s="59"/>
    </row>
    <row r="6" spans="1:7" ht="12.75">
      <c r="A6" s="45">
        <v>20</v>
      </c>
      <c r="B6" s="64">
        <f aca="true" t="shared" si="0" ref="B6:B21">C6+D6</f>
        <v>83.21008358287312</v>
      </c>
      <c r="C6" s="64">
        <f aca="true" t="shared" si="1" ref="C6:C21">F/A6</f>
        <v>75.71008358287312</v>
      </c>
      <c r="D6" s="64">
        <f aca="true" t="shared" si="2" ref="D6:D21">V</f>
        <v>7.5</v>
      </c>
      <c r="E6" s="64">
        <f>MR*A6</f>
        <v>0</v>
      </c>
      <c r="F6" s="64">
        <f>(D6+C6)*A6</f>
        <v>1664.2016716574626</v>
      </c>
      <c r="G6" s="66">
        <f>E6-F6</f>
        <v>-1664.2016716574626</v>
      </c>
    </row>
    <row r="7" spans="1:9" ht="12.75">
      <c r="A7" s="45">
        <v>40</v>
      </c>
      <c r="B7" s="64">
        <f t="shared" si="0"/>
        <v>45.35504179143656</v>
      </c>
      <c r="C7" s="64">
        <f t="shared" si="1"/>
        <v>37.85504179143656</v>
      </c>
      <c r="D7" s="64">
        <f t="shared" si="2"/>
        <v>7.5</v>
      </c>
      <c r="E7" s="64">
        <f aca="true" t="shared" si="3" ref="E7:E22">MR*A7</f>
        <v>0</v>
      </c>
      <c r="F7" s="64">
        <f aca="true" t="shared" si="4" ref="F7:F22">(D7+C7)*A7</f>
        <v>1814.2016716574626</v>
      </c>
      <c r="G7" s="66">
        <f aca="true" t="shared" si="5" ref="G7:G25">E7-F7</f>
        <v>-1814.2016716574626</v>
      </c>
      <c r="I7" s="67" t="s">
        <v>50</v>
      </c>
    </row>
    <row r="8" spans="1:9" ht="12.75">
      <c r="A8" s="45">
        <v>60</v>
      </c>
      <c r="B8" s="64">
        <f t="shared" si="0"/>
        <v>32.73669452762438</v>
      </c>
      <c r="C8" s="64">
        <f t="shared" si="1"/>
        <v>25.236694527624376</v>
      </c>
      <c r="D8" s="64">
        <f t="shared" si="2"/>
        <v>7.5</v>
      </c>
      <c r="E8" s="64">
        <f t="shared" si="3"/>
        <v>0</v>
      </c>
      <c r="F8" s="64">
        <f t="shared" si="4"/>
        <v>1964.2016716574628</v>
      </c>
      <c r="G8" s="66">
        <f t="shared" si="5"/>
        <v>-1964.2016716574628</v>
      </c>
      <c r="I8" s="45" t="s">
        <v>51</v>
      </c>
    </row>
    <row r="9" spans="1:7" ht="12.75">
      <c r="A9" s="45">
        <v>80</v>
      </c>
      <c r="B9" s="64">
        <f t="shared" si="0"/>
        <v>26.42752089571828</v>
      </c>
      <c r="C9" s="64">
        <f t="shared" si="1"/>
        <v>18.92752089571828</v>
      </c>
      <c r="D9" s="64">
        <f t="shared" si="2"/>
        <v>7.5</v>
      </c>
      <c r="E9" s="64">
        <f t="shared" si="3"/>
        <v>0</v>
      </c>
      <c r="F9" s="64">
        <f t="shared" si="4"/>
        <v>2114.2016716574626</v>
      </c>
      <c r="G9" s="66">
        <f t="shared" si="5"/>
        <v>-2114.2016716574626</v>
      </c>
    </row>
    <row r="10" spans="1:7" ht="12.75">
      <c r="A10" s="45">
        <v>100</v>
      </c>
      <c r="B10" s="64">
        <f t="shared" si="0"/>
        <v>22.642016716574624</v>
      </c>
      <c r="C10" s="64">
        <f t="shared" si="1"/>
        <v>15.142016716574625</v>
      </c>
      <c r="D10" s="64">
        <f t="shared" si="2"/>
        <v>7.5</v>
      </c>
      <c r="E10" s="64">
        <f t="shared" si="3"/>
        <v>0</v>
      </c>
      <c r="F10" s="64">
        <f t="shared" si="4"/>
        <v>2264.201671657462</v>
      </c>
      <c r="G10" s="66">
        <f t="shared" si="5"/>
        <v>-2264.201671657462</v>
      </c>
    </row>
    <row r="11" spans="1:7" ht="12.75">
      <c r="A11" s="45">
        <v>150</v>
      </c>
      <c r="B11" s="64">
        <f t="shared" si="0"/>
        <v>17.59467781104975</v>
      </c>
      <c r="C11" s="64">
        <f t="shared" si="1"/>
        <v>10.09467781104975</v>
      </c>
      <c r="D11" s="64">
        <f t="shared" si="2"/>
        <v>7.5</v>
      </c>
      <c r="E11" s="64">
        <f t="shared" si="3"/>
        <v>0</v>
      </c>
      <c r="F11" s="64">
        <f t="shared" si="4"/>
        <v>2639.201671657462</v>
      </c>
      <c r="G11" s="66">
        <f t="shared" si="5"/>
        <v>-2639.201671657462</v>
      </c>
    </row>
    <row r="12" spans="1:7" ht="12.75">
      <c r="A12" s="45">
        <v>200</v>
      </c>
      <c r="B12" s="64">
        <f t="shared" si="0"/>
        <v>15.071008358287312</v>
      </c>
      <c r="C12" s="64">
        <f t="shared" si="1"/>
        <v>7.571008358287313</v>
      </c>
      <c r="D12" s="64">
        <f t="shared" si="2"/>
        <v>7.5</v>
      </c>
      <c r="E12" s="64">
        <f t="shared" si="3"/>
        <v>0</v>
      </c>
      <c r="F12" s="64">
        <f t="shared" si="4"/>
        <v>3014.201671657462</v>
      </c>
      <c r="G12" s="66">
        <f t="shared" si="5"/>
        <v>-3014.201671657462</v>
      </c>
    </row>
    <row r="13" spans="1:7" ht="12.75">
      <c r="A13" s="45">
        <v>300</v>
      </c>
      <c r="B13" s="64">
        <f t="shared" si="0"/>
        <v>12.547338905524875</v>
      </c>
      <c r="C13" s="64">
        <f t="shared" si="1"/>
        <v>5.047338905524875</v>
      </c>
      <c r="D13" s="64">
        <f t="shared" si="2"/>
        <v>7.5</v>
      </c>
      <c r="E13" s="64">
        <f t="shared" si="3"/>
        <v>0</v>
      </c>
      <c r="F13" s="64">
        <f t="shared" si="4"/>
        <v>3764.201671657462</v>
      </c>
      <c r="G13" s="66">
        <f t="shared" si="5"/>
        <v>-3764.201671657462</v>
      </c>
    </row>
    <row r="14" spans="1:7" ht="12.75">
      <c r="A14" s="45">
        <v>400</v>
      </c>
      <c r="B14" s="64">
        <f t="shared" si="0"/>
        <v>11.285504179143656</v>
      </c>
      <c r="C14" s="64">
        <f t="shared" si="1"/>
        <v>3.7855041791436563</v>
      </c>
      <c r="D14" s="64">
        <f t="shared" si="2"/>
        <v>7.5</v>
      </c>
      <c r="E14" s="64">
        <f t="shared" si="3"/>
        <v>0</v>
      </c>
      <c r="F14" s="64">
        <f t="shared" si="4"/>
        <v>4514.201671657463</v>
      </c>
      <c r="G14" s="66">
        <f t="shared" si="5"/>
        <v>-4514.201671657463</v>
      </c>
    </row>
    <row r="15" spans="1:7" ht="12.75">
      <c r="A15" s="45">
        <v>500</v>
      </c>
      <c r="B15" s="64">
        <f t="shared" si="0"/>
        <v>10.528403343314926</v>
      </c>
      <c r="C15" s="64">
        <f t="shared" si="1"/>
        <v>3.0284033433149253</v>
      </c>
      <c r="D15" s="64">
        <f t="shared" si="2"/>
        <v>7.5</v>
      </c>
      <c r="E15" s="64">
        <f t="shared" si="3"/>
        <v>0</v>
      </c>
      <c r="F15" s="64">
        <f t="shared" si="4"/>
        <v>5264.201671657463</v>
      </c>
      <c r="G15" s="66">
        <f t="shared" si="5"/>
        <v>-5264.201671657463</v>
      </c>
    </row>
    <row r="16" spans="1:7" ht="12.75">
      <c r="A16" s="45">
        <v>600</v>
      </c>
      <c r="B16" s="64">
        <f t="shared" si="0"/>
        <v>10.023669452762437</v>
      </c>
      <c r="C16" s="64">
        <f t="shared" si="1"/>
        <v>2.5236694527624377</v>
      </c>
      <c r="D16" s="64">
        <f t="shared" si="2"/>
        <v>7.5</v>
      </c>
      <c r="E16" s="64">
        <f t="shared" si="3"/>
        <v>0</v>
      </c>
      <c r="F16" s="64">
        <f t="shared" si="4"/>
        <v>6014.201671657463</v>
      </c>
      <c r="G16" s="66">
        <f t="shared" si="5"/>
        <v>-6014.201671657463</v>
      </c>
    </row>
    <row r="17" spans="1:7" ht="12.75">
      <c r="A17" s="45">
        <v>700</v>
      </c>
      <c r="B17" s="64">
        <f t="shared" si="0"/>
        <v>9.663145245224946</v>
      </c>
      <c r="C17" s="64">
        <f t="shared" si="1"/>
        <v>2.1631452452249467</v>
      </c>
      <c r="D17" s="64">
        <f t="shared" si="2"/>
        <v>7.5</v>
      </c>
      <c r="E17" s="64">
        <f t="shared" si="3"/>
        <v>0</v>
      </c>
      <c r="F17" s="64">
        <f t="shared" si="4"/>
        <v>6764.201671657463</v>
      </c>
      <c r="G17" s="66">
        <f t="shared" si="5"/>
        <v>-6764.201671657463</v>
      </c>
    </row>
    <row r="18" spans="1:7" ht="12.75">
      <c r="A18" s="45">
        <v>800</v>
      </c>
      <c r="B18" s="64">
        <f t="shared" si="0"/>
        <v>9.392752089571829</v>
      </c>
      <c r="C18" s="64">
        <f t="shared" si="1"/>
        <v>1.8927520895718282</v>
      </c>
      <c r="D18" s="64">
        <f t="shared" si="2"/>
        <v>7.5</v>
      </c>
      <c r="E18" s="64">
        <f t="shared" si="3"/>
        <v>0</v>
      </c>
      <c r="F18" s="64">
        <f t="shared" si="4"/>
        <v>7514.2016716574635</v>
      </c>
      <c r="G18" s="66">
        <f t="shared" si="5"/>
        <v>-7514.2016716574635</v>
      </c>
    </row>
    <row r="19" spans="1:7" ht="12.75">
      <c r="A19" s="45">
        <v>900</v>
      </c>
      <c r="B19" s="64">
        <f t="shared" si="0"/>
        <v>9.182446301841626</v>
      </c>
      <c r="C19" s="64">
        <f t="shared" si="1"/>
        <v>1.6824463018416251</v>
      </c>
      <c r="D19" s="64">
        <f t="shared" si="2"/>
        <v>7.5</v>
      </c>
      <c r="E19" s="64">
        <f t="shared" si="3"/>
        <v>0</v>
      </c>
      <c r="F19" s="64">
        <f t="shared" si="4"/>
        <v>8264.201671657464</v>
      </c>
      <c r="G19" s="66">
        <f t="shared" si="5"/>
        <v>-8264.201671657464</v>
      </c>
    </row>
    <row r="20" spans="1:7" ht="12.75">
      <c r="A20" s="45">
        <v>1000</v>
      </c>
      <c r="B20" s="64">
        <f t="shared" si="0"/>
        <v>9.014201671657462</v>
      </c>
      <c r="C20" s="64">
        <f t="shared" si="1"/>
        <v>1.5142016716574627</v>
      </c>
      <c r="D20" s="64">
        <f t="shared" si="2"/>
        <v>7.5</v>
      </c>
      <c r="E20" s="64">
        <f t="shared" si="3"/>
        <v>0</v>
      </c>
      <c r="F20" s="64">
        <f t="shared" si="4"/>
        <v>9014.201671657462</v>
      </c>
      <c r="G20" s="66">
        <f t="shared" si="5"/>
        <v>-9014.201671657462</v>
      </c>
    </row>
    <row r="21" spans="1:7" ht="12.75">
      <c r="A21" s="45">
        <v>1200</v>
      </c>
      <c r="B21" s="64">
        <f t="shared" si="0"/>
        <v>8.761834726381219</v>
      </c>
      <c r="C21" s="64">
        <f t="shared" si="1"/>
        <v>1.2618347263812189</v>
      </c>
      <c r="D21" s="64">
        <f t="shared" si="2"/>
        <v>7.5</v>
      </c>
      <c r="E21" s="64">
        <f t="shared" si="3"/>
        <v>0</v>
      </c>
      <c r="F21" s="64">
        <f t="shared" si="4"/>
        <v>10514.201671657462</v>
      </c>
      <c r="G21" s="66">
        <f t="shared" si="5"/>
        <v>-10514.201671657462</v>
      </c>
    </row>
    <row r="22" spans="1:7" ht="12.75">
      <c r="A22" s="45">
        <v>1400</v>
      </c>
      <c r="B22" s="64">
        <f>C22+D22</f>
        <v>8.581572622612473</v>
      </c>
      <c r="C22" s="64">
        <f>F/A22</f>
        <v>1.0815726226124733</v>
      </c>
      <c r="D22" s="64">
        <f>V</f>
        <v>7.5</v>
      </c>
      <c r="E22" s="64">
        <f t="shared" si="3"/>
        <v>0</v>
      </c>
      <c r="F22" s="64">
        <f t="shared" si="4"/>
        <v>12014.201671657462</v>
      </c>
      <c r="G22" s="66">
        <f t="shared" si="5"/>
        <v>-12014.201671657462</v>
      </c>
    </row>
    <row r="23" spans="1:7" ht="12.75">
      <c r="A23" s="45">
        <v>1600</v>
      </c>
      <c r="B23" s="64">
        <f>C23+D23</f>
        <v>8.446376044785914</v>
      </c>
      <c r="C23" s="64">
        <f>F/A23</f>
        <v>0.9463760447859141</v>
      </c>
      <c r="D23" s="64">
        <f>V</f>
        <v>7.5</v>
      </c>
      <c r="E23" s="64">
        <f>MR*A23</f>
        <v>0</v>
      </c>
      <c r="F23" s="64">
        <f>(D23+C23)*A23</f>
        <v>13514.201671657464</v>
      </c>
      <c r="G23" s="66">
        <f t="shared" si="5"/>
        <v>-13514.201671657464</v>
      </c>
    </row>
    <row r="24" spans="1:7" ht="12.75">
      <c r="A24" s="45">
        <v>1800</v>
      </c>
      <c r="B24" s="64">
        <f>C24+D24</f>
        <v>8.341223150920813</v>
      </c>
      <c r="C24" s="64">
        <f>F/A24</f>
        <v>0.8412231509208126</v>
      </c>
      <c r="D24" s="64">
        <f>V</f>
        <v>7.5</v>
      </c>
      <c r="E24" s="64">
        <f>MR*A24</f>
        <v>0</v>
      </c>
      <c r="F24" s="64">
        <f>(D24+C24)*A24</f>
        <v>15014.201671657464</v>
      </c>
      <c r="G24" s="66">
        <f t="shared" si="5"/>
        <v>-15014.201671657464</v>
      </c>
    </row>
    <row r="25" spans="1:7" ht="12.75">
      <c r="A25" s="45">
        <v>2000</v>
      </c>
      <c r="B25" s="64">
        <f>C25+D25</f>
        <v>8.257100835828732</v>
      </c>
      <c r="C25" s="64">
        <f>F/A25</f>
        <v>0.7571008358287313</v>
      </c>
      <c r="D25" s="64">
        <f>V</f>
        <v>7.5</v>
      </c>
      <c r="E25" s="64">
        <f>MR*A25</f>
        <v>0</v>
      </c>
      <c r="F25" s="64">
        <f>(D25+C25)*A25</f>
        <v>16514.201671657465</v>
      </c>
      <c r="G25" s="66">
        <f t="shared" si="5"/>
        <v>-16514.201671657465</v>
      </c>
    </row>
    <row r="42" ht="12.75">
      <c r="G42"/>
    </row>
  </sheetData>
  <sheetProtection sheet="1" objects="1" scenarios="1"/>
  <mergeCells count="1">
    <mergeCell ref="A2:B3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showGridLines="0" showRowColHeaders="0" defaultGridColor="0" zoomScale="75" zoomScaleNormal="75" zoomScalePageLayoutView="0" colorId="57" workbookViewId="0" topLeftCell="A1">
      <selection activeCell="A10" sqref="A10"/>
    </sheetView>
  </sheetViews>
  <sheetFormatPr defaultColWidth="11.421875" defaultRowHeight="12.75"/>
  <sheetData>
    <row r="1" spans="1:5" ht="12.75">
      <c r="A1" t="s">
        <v>28</v>
      </c>
      <c r="B1" t="s">
        <v>69</v>
      </c>
      <c r="E1" t="s">
        <v>70</v>
      </c>
    </row>
    <row r="3" spans="1:2" ht="12.75">
      <c r="A3" t="s">
        <v>71</v>
      </c>
      <c r="B3" t="s">
        <v>72</v>
      </c>
    </row>
    <row r="4" spans="1:2" ht="12.75">
      <c r="A4" t="s">
        <v>73</v>
      </c>
      <c r="B4" t="s">
        <v>74</v>
      </c>
    </row>
    <row r="5" spans="1:2" ht="12.75">
      <c r="A5" t="s">
        <v>75</v>
      </c>
      <c r="B5" t="s">
        <v>76</v>
      </c>
    </row>
    <row r="6" spans="1:2" ht="12.75">
      <c r="A6" t="s">
        <v>77</v>
      </c>
      <c r="B6" t="s">
        <v>78</v>
      </c>
    </row>
    <row r="7" spans="1:2" ht="12.75">
      <c r="A7" t="s">
        <v>79</v>
      </c>
      <c r="B7" t="s">
        <v>80</v>
      </c>
    </row>
    <row r="8" spans="1:2" ht="12.75">
      <c r="A8" t="s">
        <v>81</v>
      </c>
      <c r="B8" t="s">
        <v>82</v>
      </c>
    </row>
    <row r="9" ht="12.75">
      <c r="A9" t="s">
        <v>83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Schule</cp:lastModifiedBy>
  <cp:lastPrinted>2014-01-21T07:18:47Z</cp:lastPrinted>
  <dcterms:created xsi:type="dcterms:W3CDTF">2011-11-15T15:53:07Z</dcterms:created>
  <dcterms:modified xsi:type="dcterms:W3CDTF">2014-11-25T19:25:57Z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