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x\Desktop\"/>
    </mc:Choice>
  </mc:AlternateContent>
  <bookViews>
    <workbookView showSheetTabs="0" xWindow="0" yWindow="0" windowWidth="20490" windowHeight="7905"/>
  </bookViews>
  <sheets>
    <sheet name="Komb_MVH-DB und PROKORE" sheetId="2" r:id="rId1"/>
    <sheet name="Detailkalkulationen" sheetId="3" r:id="rId2"/>
    <sheet name="Tabelle6" sheetId="6" r:id="rId3"/>
    <sheet name="Tabelle7" sheetId="7" r:id="rId4"/>
    <sheet name="Tabelle8" sheetId="8" r:id="rId5"/>
    <sheet name="Tabelle9" sheetId="9" r:id="rId6"/>
    <sheet name="Tabelle10" sheetId="10" r:id="rId7"/>
    <sheet name="Tabelle11" sheetId="11" r:id="rId8"/>
    <sheet name="Tabelle12" sheetId="12" r:id="rId9"/>
    <sheet name="Tabelle13" sheetId="13" r:id="rId10"/>
    <sheet name="Tabelle14" sheetId="14" r:id="rId11"/>
    <sheet name="Tabelle15" sheetId="15" r:id="rId12"/>
    <sheet name="Tabelle16" sheetId="16" r:id="rId13"/>
  </sheets>
  <definedNames>
    <definedName name="Abkalbequote">'Komb_MVH-DB und PROKORE'!$D$29</definedName>
    <definedName name="Akh_pro_Kuh">'Komb_MVH-DB und PROKORE'!$D$69</definedName>
    <definedName name="Akh_pro_Kuh_incl_Futterwerbung">'Komb_MVH-DB und PROKORE'!$D$70</definedName>
    <definedName name="Altkuherlös">'Komb_MVH-DB und PROKORE'!$E$47</definedName>
    <definedName name="Altkuhgewicht">'Komb_MVH-DB und PROKORE'!$D$35</definedName>
    <definedName name="Altkuhpreis">'Komb_MVH-DB und PROKORE'!$D$36</definedName>
    <definedName name="Anz_Eigennachzucht">'Komb_MVH-DB und PROKORE'!$A$57</definedName>
    <definedName name="Anz_Jungvieh">'Komb_MVH-DB und PROKORE'!$D$33</definedName>
    <definedName name="Anz_Kühe">'Komb_MVH-DB und PROKORE'!$D$30</definedName>
    <definedName name="Anz_Verkaufskalbinnen">'Komb_MVH-DB und PROKORE'!$C$48</definedName>
    <definedName name="Anz_Zukaufskalbinnen">'Komb_MVH-DB und PROKORE'!$A$58</definedName>
    <definedName name="AnzK">'Komb_MVH-DB und PROKORE'!$D$31</definedName>
    <definedName name="BE_Zukauf">'Komb_MVH-DB und PROKORE'!$E$58</definedName>
    <definedName name="Bedarf_ha_Hauptfutterfläche">Detailkalkulationen!$D$9</definedName>
    <definedName name="Bedarf_pro_Jahr">'Komb_MVH-DB und PROKORE'!$I$32</definedName>
    <definedName name="Bestandesergänzung">'Komb_MVH-DB und PROKORE'!$E$57</definedName>
    <definedName name="DB_pro_Akh">'Komb_MVH-DB und PROKORE'!$E$69</definedName>
    <definedName name="DB_pro_Akh_incl_Futterwerbung">'Komb_MVH-DB und PROKORE'!$E$70</definedName>
    <definedName name="DB_pro_Einheit">'Komb_MVH-DB und PROKORE'!$E$68</definedName>
    <definedName name="DB_pro_ha_HF">'Komb_MVH-DB und PROKORE'!#REF!</definedName>
    <definedName name="Detail_Förderungen">Detailkalkulationen!#REF!</definedName>
    <definedName name="Detail_Futter">Detailkalkulationen!$A$4</definedName>
    <definedName name="Detail_Kälberaufzucht">Detailkalkulationen!$A$14</definedName>
    <definedName name="Detail_Milchgewinnung">Detailkalkulationen!$A$32</definedName>
    <definedName name="Detail_sonstige_Kosten">Detailkalkulationen!$A$42</definedName>
    <definedName name="_xlnm.Print_Area" localSheetId="1">Detailkalkulationen!$A$1:$H$50</definedName>
    <definedName name="Erstkalbealter">'Komb_MVH-DB und PROKORE'!$D$32</definedName>
    <definedName name="Erstkalbealter_Mo">'Komb_MVH-DB und PROKORE'!$D$32</definedName>
    <definedName name="Gesamtgemelk">'Komb_MVH-DB und PROKORE'!$D$22</definedName>
    <definedName name="Grundfutterkosten">Detailkalkulationen!$G$9</definedName>
    <definedName name="Kälber_w">'Komb_MVH-DB und PROKORE'!$I$31</definedName>
    <definedName name="Kälberaufzuchtfutter">Detailkalkulationen!$F$17</definedName>
    <definedName name="Kälberaufzuchtkosten">Detailkalkulationen!$G$20</definedName>
    <definedName name="Kälberaufzuchtkosten_mit_VM">Detailkalkulationen!$G$19</definedName>
    <definedName name="Kälberaufzuchtkosten_ohne_VM">Detailkalkulationen!$G$20</definedName>
    <definedName name="Kälbererlös_m">'Komb_MVH-DB und PROKORE'!$E$49</definedName>
    <definedName name="Kälbererlös_w">'Komb_MVH-DB und PROKORE'!$F$49</definedName>
    <definedName name="Kälberpreis_m">'Komb_MVH-DB und PROKORE'!$D$38</definedName>
    <definedName name="Kälberpreis_w">'Komb_MVH-DB und PROKORE'!$D$39</definedName>
    <definedName name="Kalbinnenerlös">'Komb_MVH-DB und PROKORE'!$D$41</definedName>
    <definedName name="kalbinnenpreis">'Komb_MVH-DB und PROKORE'!$D$40</definedName>
    <definedName name="Kraftfutterkosten">Detailkalkulationen!$G$10</definedName>
    <definedName name="Lohnanspruch_gesamt">'Komb_MVH-DB und PROKORE'!$G$116</definedName>
    <definedName name="Lohnanspruch_pro_Akh">'Komb_MVH-DB und PROKORE'!$C$108</definedName>
    <definedName name="Marktleistung">'Komb_MVH-DB und PROKORE'!$D$23</definedName>
    <definedName name="Milcherlös">'Komb_MVH-DB und PROKORE'!$E$46</definedName>
    <definedName name="Milchpreis">'Komb_MVH-DB und PROKORE'!$D$34</definedName>
    <definedName name="Nutzungsdauer">'Komb_MVH-DB und PROKORE'!$D$28</definedName>
    <definedName name="P">'Komb_MVH-DB und PROKORE'!$D$80</definedName>
    <definedName name="Rohertrag">'Komb_MVH-DB und PROKORE'!$E$52</definedName>
    <definedName name="Tierarztpauschale">Detailkalkulationen!$F$18</definedName>
    <definedName name="Variable_Kosten_Vollmilch">Detailkalkulationen!$E$16</definedName>
    <definedName name="VarK_VM">'Komb_MVH-DB und PROKORE'!$G$65</definedName>
    <definedName name="VarKosten_Milchgewinnung">Detailkalkulationen!$G$39</definedName>
    <definedName name="VarKosten_mit_VM">'Komb_MVH-DB und PROKORE'!$F$64</definedName>
    <definedName name="VarKosten_ohne_VM">'Komb_MVH-DB und PROKORE'!$E$64</definedName>
    <definedName name="VarKosten_Sonstiges">Detailkalkulationen!$G$49</definedName>
    <definedName name="VarKosten_Verfütterungsmilch">Detailkalkulationen!$F$16</definedName>
    <definedName name="Verkaufsgewicht_Kälber">'Komb_MVH-DB und PROKORE'!$D$37</definedName>
    <definedName name="Verkaufskalbinnenerlös">'Komb_MVH-DB und PROKORE'!$E$48</definedName>
    <definedName name="Verzinsung_Bestandesergänzung">'Komb_MVH-DB und PROKORE'!#REF!</definedName>
    <definedName name="Vollmilchbedarf">Detailkalkulationen!$C$16</definedName>
    <definedName name="Zinssatz">'Komb_MVH-DB und PROKORE'!$D$42</definedName>
  </definedNames>
  <calcPr calcId="152511"/>
</workbook>
</file>

<file path=xl/calcChain.xml><?xml version="1.0" encoding="utf-8"?>
<calcChain xmlns="http://schemas.openxmlformats.org/spreadsheetml/2006/main">
  <c r="A61" i="2" l="1"/>
  <c r="I37" i="2" l="1"/>
  <c r="I38" i="2" s="1"/>
  <c r="I39" i="2" s="1"/>
  <c r="I36" i="2"/>
  <c r="H36" i="2" l="1"/>
  <c r="D23" i="2"/>
  <c r="E46" i="2" s="1"/>
  <c r="D22" i="2"/>
  <c r="E156" i="2" s="1"/>
  <c r="H35" i="2"/>
  <c r="I35" i="2"/>
  <c r="H37" i="2"/>
  <c r="H38" i="2" s="1"/>
  <c r="H39" i="2" s="1"/>
  <c r="F110" i="2"/>
  <c r="D111" i="2"/>
  <c r="F111" i="2"/>
  <c r="F113" i="2"/>
  <c r="F115" i="2"/>
  <c r="G116" i="2"/>
  <c r="F143" i="2"/>
  <c r="F45" i="3"/>
  <c r="G49" i="3" s="1"/>
  <c r="E63" i="2" s="1"/>
  <c r="F47" i="3"/>
  <c r="E24" i="3"/>
  <c r="E25" i="3"/>
  <c r="E26" i="3"/>
  <c r="E27" i="3"/>
  <c r="E28" i="3"/>
  <c r="F29" i="3"/>
  <c r="I32" i="2"/>
  <c r="D31" i="2"/>
  <c r="I31" i="2" s="1"/>
  <c r="D50" i="2" s="1"/>
  <c r="F5" i="3"/>
  <c r="G9" i="3" s="1"/>
  <c r="F8" i="3"/>
  <c r="F7" i="3"/>
  <c r="G10" i="3"/>
  <c r="E60" i="2"/>
  <c r="D76" i="2"/>
  <c r="F17" i="3"/>
  <c r="G39" i="3"/>
  <c r="E62" i="2"/>
  <c r="D78" i="2"/>
  <c r="G120" i="2"/>
  <c r="D121" i="2"/>
  <c r="G121" i="2"/>
  <c r="G122" i="2"/>
  <c r="G123" i="2"/>
  <c r="G124" i="2"/>
  <c r="E128" i="2"/>
  <c r="G128" i="2"/>
  <c r="G127" i="2"/>
  <c r="G129" i="2"/>
  <c r="G131" i="2"/>
  <c r="F144" i="2"/>
  <c r="G136" i="2"/>
  <c r="G139" i="2"/>
  <c r="F145" i="2"/>
  <c r="E47" i="2"/>
  <c r="E48" i="2"/>
  <c r="E49" i="2"/>
  <c r="I48" i="2"/>
  <c r="D33" i="2"/>
  <c r="C158" i="2"/>
  <c r="F155" i="2"/>
  <c r="G155" i="2" s="1"/>
  <c r="G143" i="2"/>
  <c r="G144" i="2"/>
  <c r="G145" i="2"/>
  <c r="G19" i="3"/>
  <c r="G61" i="2"/>
  <c r="G60" i="2"/>
  <c r="G62" i="2"/>
  <c r="D70" i="2"/>
  <c r="D69" i="2"/>
  <c r="F49" i="2"/>
  <c r="G23" i="3"/>
  <c r="I33" i="2"/>
  <c r="C15" i="3"/>
  <c r="B163" i="2"/>
  <c r="E59" i="2" l="1"/>
  <c r="D75" i="2" s="1"/>
  <c r="G11" i="3"/>
  <c r="G59" i="2"/>
  <c r="E61" i="2"/>
  <c r="D77" i="2" s="1"/>
  <c r="D43" i="2"/>
  <c r="F147" i="2"/>
  <c r="F4" i="3"/>
  <c r="A57" i="2"/>
  <c r="C57" i="2" s="1"/>
  <c r="G57" i="2" s="1"/>
  <c r="D49" i="2"/>
  <c r="F20" i="3"/>
  <c r="G20" i="3" s="1"/>
  <c r="E30" i="3"/>
  <c r="F30" i="3" s="1"/>
  <c r="E57" i="2" s="1"/>
  <c r="D79" i="2"/>
  <c r="G63" i="2"/>
  <c r="F48" i="2"/>
  <c r="A58" i="2"/>
  <c r="E58" i="2" s="1"/>
  <c r="G58" i="2" s="1"/>
  <c r="E50" i="2"/>
  <c r="E52" i="2" s="1"/>
  <c r="F56" i="2"/>
  <c r="F50" i="2"/>
  <c r="B151" i="2"/>
  <c r="E155" i="2"/>
  <c r="F148" i="2" l="1"/>
  <c r="G47" i="2"/>
  <c r="D74" i="2"/>
  <c r="E64" i="2"/>
  <c r="G65" i="2" s="1"/>
  <c r="G64" i="2"/>
  <c r="G148" i="2" l="1"/>
  <c r="G52" i="2"/>
  <c r="G68" i="2" s="1"/>
  <c r="D80" i="2"/>
  <c r="E74" i="2" s="1"/>
  <c r="E68" i="2"/>
  <c r="F142" i="2" l="1"/>
  <c r="E76" i="2"/>
  <c r="E75" i="2"/>
  <c r="E78" i="2"/>
  <c r="E80" i="2"/>
  <c r="E77" i="2"/>
  <c r="E79" i="2"/>
  <c r="G69" i="2"/>
  <c r="G70" i="2"/>
  <c r="E70" i="2"/>
  <c r="E69" i="2"/>
  <c r="F146" i="2" l="1"/>
  <c r="G142" i="2"/>
  <c r="G146" i="2" l="1"/>
  <c r="G151" i="2" s="1"/>
  <c r="G152" i="2" s="1"/>
  <c r="G156" i="2" s="1"/>
  <c r="G157" i="2" s="1"/>
  <c r="G158" i="2" s="1"/>
  <c r="G159" i="2" s="1"/>
  <c r="G160" i="2" s="1"/>
  <c r="F151" i="2"/>
  <c r="F152" i="2" s="1"/>
  <c r="F156" i="2" s="1"/>
  <c r="F157" i="2" s="1"/>
  <c r="F158" i="2" s="1"/>
  <c r="F159" i="2" s="1"/>
  <c r="C163" i="2" l="1"/>
  <c r="F160" i="2"/>
</calcChain>
</file>

<file path=xl/comments1.xml><?xml version="1.0" encoding="utf-8"?>
<comments xmlns="http://schemas.openxmlformats.org/spreadsheetml/2006/main">
  <authors>
    <author>he</author>
    <author>Lenovo</author>
  </authors>
  <commentList>
    <comment ref="A4" authorId="0" shapeId="0">
      <text>
        <r>
          <rPr>
            <b/>
            <sz val="12"/>
            <color indexed="81"/>
            <rFont val="Tahoma"/>
            <family val="2"/>
          </rPr>
          <t>zu finden bei http://blrw.twoday.net/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 xml:space="preserve">wenn über den erforderlichen Eigenbedarf Jungvieh gehalten wird (für Verkauf?), so erhöht sich die Jungviehanzahl </t>
        </r>
      </text>
    </comment>
    <comment ref="B119" authorId="0" shapeId="0">
      <text>
        <r>
          <rPr>
            <b/>
            <sz val="12"/>
            <color indexed="81"/>
            <rFont val="Tahoma"/>
            <family val="2"/>
          </rPr>
          <t>Standplatz + Futterlager + Düngerlager für alle Tiere</t>
        </r>
      </text>
    </comment>
    <comment ref="E131" authorId="0" shapeId="0">
      <text>
        <r>
          <rPr>
            <b/>
            <sz val="8"/>
            <color indexed="81"/>
            <rFont val="Tahoma"/>
            <family val="2"/>
          </rPr>
          <t>aus
Verfahrenskosten_Bsp.xls</t>
        </r>
      </text>
    </comment>
  </commentList>
</comments>
</file>

<file path=xl/comments2.xml><?xml version="1.0" encoding="utf-8"?>
<comments xmlns="http://schemas.openxmlformats.org/spreadsheetml/2006/main">
  <authors>
    <author>he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variable Spezialkosten aus Arbeitsverfahren der Aussenwirtschaft 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Kraftfutter für alle Kühe pro Jahr in kg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Zukaufskosten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Mineralstofffuttermenge für alle Kühe pro Jahr in kg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 xml:space="preserve">Zukaufskosten 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Vollmilchbedarf: Futtermilch für alle Kälber
ca. 10 l pro kg Zunahme
Beachte: Kälber für Nachzucht haben erhöhten Milchbedarf!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Kraftfutter für 1 Stk Jungvieh über die Aufzuchtdauer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Zukaufskosten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Zukaufskosten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Zukaufskosten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Zukaufskosten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>incl. "Sonstiges" aus Verfahrenskosten_Bsp.xls</t>
        </r>
      </text>
    </comment>
  </commentList>
</comments>
</file>

<file path=xl/sharedStrings.xml><?xml version="1.0" encoding="utf-8"?>
<sst xmlns="http://schemas.openxmlformats.org/spreadsheetml/2006/main" count="240" uniqueCount="199">
  <si>
    <t>Biobetrieb</t>
  </si>
  <si>
    <t>Betriebsgröße:</t>
  </si>
  <si>
    <t>Kühe</t>
  </si>
  <si>
    <t>Fütterung:</t>
  </si>
  <si>
    <t>Haltung:</t>
  </si>
  <si>
    <t>Kalkulationsgrundlagen:</t>
  </si>
  <si>
    <t>kg</t>
  </si>
  <si>
    <t>Nutzungsdauer Kuh</t>
  </si>
  <si>
    <t>Jahre</t>
  </si>
  <si>
    <t>Abkalbequote</t>
  </si>
  <si>
    <t>Kälber</t>
  </si>
  <si>
    <t>Milchpreis</t>
  </si>
  <si>
    <t>Altkuhgewicht</t>
  </si>
  <si>
    <t>Altkuhpreis</t>
  </si>
  <si>
    <t>Kälberpreis männlich</t>
  </si>
  <si>
    <t>Kälberpreis weiblich</t>
  </si>
  <si>
    <t>trächtige Kalbin (Zukauf)</t>
  </si>
  <si>
    <t>Zinssatz</t>
  </si>
  <si>
    <t>%</t>
  </si>
  <si>
    <t>Milcherlös</t>
  </si>
  <si>
    <t>Altkuherlös</t>
  </si>
  <si>
    <t>Kälbererlös männlich</t>
  </si>
  <si>
    <t>Kälbererlös weiblich</t>
  </si>
  <si>
    <t>Variable Spezialkosten</t>
  </si>
  <si>
    <t>Bestandesergänzung</t>
  </si>
  <si>
    <t>Verzinsung</t>
  </si>
  <si>
    <t>Futterkosten:</t>
  </si>
  <si>
    <t>Grundfutter</t>
  </si>
  <si>
    <t>Kälberaufzuchtkosten</t>
  </si>
  <si>
    <t>Maschinen- und Energiekosten</t>
  </si>
  <si>
    <t>Sonstiges</t>
  </si>
  <si>
    <t>ohne VM</t>
  </si>
  <si>
    <t>Variable Spezialkosten pro kg Vollmilch</t>
  </si>
  <si>
    <t>Deckungsbeiträge</t>
  </si>
  <si>
    <t>DB pro Einheit</t>
  </si>
  <si>
    <t>DB pro Akh</t>
  </si>
  <si>
    <t>DB pro Akh (incl. Futterwerbung)</t>
  </si>
  <si>
    <t>Aufschlüsselung der Variablen Spezialkosten</t>
  </si>
  <si>
    <t>KF, Min.Stoffe</t>
  </si>
  <si>
    <t>Kälberaufzucht</t>
  </si>
  <si>
    <t>Gesamt</t>
  </si>
  <si>
    <t>Ausbau der Deckungsbeitragsrechnung zur Vollkostenrechnung</t>
  </si>
  <si>
    <t>Lohnanspruch</t>
  </si>
  <si>
    <t>Arbeitszeitbedarf</t>
  </si>
  <si>
    <t>Tage</t>
  </si>
  <si>
    <t>zu je min</t>
  </si>
  <si>
    <t>Akh</t>
  </si>
  <si>
    <t>Winter</t>
  </si>
  <si>
    <t>Sommer</t>
  </si>
  <si>
    <t>Futterwerbung</t>
  </si>
  <si>
    <t>Fixkosten</t>
  </si>
  <si>
    <t>Gebäude</t>
  </si>
  <si>
    <t>Nutzungsdauer</t>
  </si>
  <si>
    <t>Feuervers.</t>
  </si>
  <si>
    <t>Instandhaltg.</t>
  </si>
  <si>
    <t>Fixkosten Gebäude</t>
  </si>
  <si>
    <t>Maschinen</t>
  </si>
  <si>
    <t>Milchgewinnung und -kühlung</t>
  </si>
  <si>
    <t>Fixkosten der Milchgewinnung und -kühlung</t>
  </si>
  <si>
    <t>Außenwirtschaft (Afa,Z,U+V)</t>
  </si>
  <si>
    <t>Gemeinkosten</t>
  </si>
  <si>
    <t>Betriebssteuern und Verwaltgskosten</t>
  </si>
  <si>
    <t>(incl. SV-Beiträge...)</t>
  </si>
  <si>
    <t>Schätzwert</t>
  </si>
  <si>
    <t>Produktionskostenrechnung</t>
  </si>
  <si>
    <t>Gesamtproduktionskosten</t>
  </si>
  <si>
    <t>abzüglich</t>
  </si>
  <si>
    <t>Kälbererlös</t>
  </si>
  <si>
    <t>Nettoproduktionskosten</t>
  </si>
  <si>
    <t>Effektiver Arbeitsverdienst</t>
  </si>
  <si>
    <t>Produktionskosten</t>
  </si>
  <si>
    <t>Differenz</t>
  </si>
  <si>
    <t>der Lohnanspruch von</t>
  </si>
  <si>
    <t>verändert sich um</t>
  </si>
  <si>
    <t>zu einem effektiven Arbeitsverdienst insgesamt pro Einheit auf</t>
  </si>
  <si>
    <t>Milchpreis:</t>
  </si>
  <si>
    <t>Arbeitsverdienst:</t>
  </si>
  <si>
    <t>Detailkalkulationen</t>
  </si>
  <si>
    <t>Grundfutterkosten</t>
  </si>
  <si>
    <t>Gesamtfutterkosten</t>
  </si>
  <si>
    <t>Kälberaufzuchtkosten bis</t>
  </si>
  <si>
    <t>kg LG</t>
  </si>
  <si>
    <t>kg zu</t>
  </si>
  <si>
    <t>Gesamtaufzuchtkosten für 1 Kalb</t>
  </si>
  <si>
    <t>Maschinen- und Energiekosten: Milchgewinnung und -kühlung</t>
  </si>
  <si>
    <t>Melkmaschine</t>
  </si>
  <si>
    <t>Milchkühler</t>
  </si>
  <si>
    <t>Waschautomat</t>
  </si>
  <si>
    <t>Beleuchtung</t>
  </si>
  <si>
    <t>Tierarzt</t>
  </si>
  <si>
    <t>Besamung</t>
  </si>
  <si>
    <t>zu</t>
  </si>
  <si>
    <t>Verbands- und Kontrollgebühren</t>
  </si>
  <si>
    <t>Einstreu</t>
  </si>
  <si>
    <t>kg/Tag zu</t>
  </si>
  <si>
    <t>Einfüllfelder</t>
  </si>
  <si>
    <t>/kg</t>
  </si>
  <si>
    <t>Verkaufsgewicht Kälber</t>
  </si>
  <si>
    <t>vom Neuwert</t>
  </si>
  <si>
    <t>Pachtwert Boden</t>
  </si>
  <si>
    <t>Modellrechnung für den Unterrichtsgebrauch!</t>
  </si>
  <si>
    <t>bezogen auf 1 kg Milch</t>
  </si>
  <si>
    <t>Produktionsverfahren:</t>
  </si>
  <si>
    <t>weitere Kälberfuttermittel</t>
  </si>
  <si>
    <t>/Akh</t>
  </si>
  <si>
    <t>Fragen?</t>
  </si>
  <si>
    <t>BHK-Punkte:</t>
  </si>
  <si>
    <t>Kraftfutter</t>
  </si>
  <si>
    <t>Mineralstoffe</t>
  </si>
  <si>
    <t>Zwischensumme</t>
  </si>
  <si>
    <t>http://blrw.twoday.net/</t>
  </si>
  <si>
    <t>Heu, KF, MinSt…</t>
  </si>
  <si>
    <t xml:space="preserve"> </t>
  </si>
  <si>
    <t>Milchleistung Betrieb</t>
  </si>
  <si>
    <t>Anzahl Kühe</t>
  </si>
  <si>
    <t>für alle Kühe und Jahr</t>
  </si>
  <si>
    <t>Gesamtaufzuchtkosten für alle Kälber</t>
  </si>
  <si>
    <t>Vollmilchbedarf für 1 Kalb</t>
  </si>
  <si>
    <t>Tierarztpauschalen für 1 Kalb</t>
  </si>
  <si>
    <t>Sonstige Kosten alle Kühe</t>
  </si>
  <si>
    <t>Gesamtarbeitszeit</t>
  </si>
  <si>
    <t>Akh in Außenwirtschaft</t>
  </si>
  <si>
    <t>insgesamt</t>
  </si>
  <si>
    <t>Erstkalbealter</t>
  </si>
  <si>
    <t>Monate</t>
  </si>
  <si>
    <t>zu je</t>
  </si>
  <si>
    <t>Weide/Alpung…</t>
  </si>
  <si>
    <t>Tierarzt, Besamung…</t>
  </si>
  <si>
    <t>Gesamtaufzuchtkosten für erforderliches Jungvieh</t>
  </si>
  <si>
    <t xml:space="preserve">Kombinierte Milchviehhaltung: </t>
  </si>
  <si>
    <t>eigene Nachzucht, Verkauf der nicht benötigten Kälber mit 80 kg LG</t>
  </si>
  <si>
    <t>Ersatz von Altkühen durch eigene Nachzucht</t>
  </si>
  <si>
    <t>Gesamtaufzuchtkosten für 1 Stk Jungvieh</t>
  </si>
  <si>
    <t>für alle Rinder und Jahr</t>
  </si>
  <si>
    <t>Kombinierte Milchviehhaltung</t>
  </si>
  <si>
    <t>Nachzucht:</t>
  </si>
  <si>
    <t>Zukauf:</t>
  </si>
  <si>
    <t>Deckungsbeitrag und Vollkostenrechnung für 1 kg Milch
Kombinierte Milchviehhaltung</t>
  </si>
  <si>
    <t>8 Kuhe + erforderliches Jungvieh</t>
  </si>
  <si>
    <t>8 ha förderbares Grünland</t>
  </si>
  <si>
    <t>vom halben NW</t>
  </si>
  <si>
    <t>Pachtschätzwert aller Aussenflächen</t>
  </si>
  <si>
    <r>
      <t>Futterkosten</t>
    </r>
    <r>
      <rPr>
        <b/>
        <sz val="14"/>
        <rFont val="Verdana"/>
        <family val="2"/>
      </rPr>
      <t xml:space="preserve"> ALLE RINDER</t>
    </r>
  </si>
  <si>
    <t>Maschinen- und Energiekosten der Milchgewinnung und -kühlung…</t>
  </si>
  <si>
    <r>
      <t xml:space="preserve">Sonstige Kosten </t>
    </r>
    <r>
      <rPr>
        <b/>
        <sz val="14"/>
        <rFont val="Verdana"/>
        <family val="2"/>
      </rPr>
      <t>alle Kühe</t>
    </r>
  </si>
  <si>
    <t>Verschiedenes</t>
  </si>
  <si>
    <t>Milch-Marktleistung kg</t>
  </si>
  <si>
    <t>m:w&gt;&gt;&gt;50:50</t>
  </si>
  <si>
    <t>Anz. Jungvieh w (div. Alter)</t>
  </si>
  <si>
    <t>Stk Kalbinnen</t>
  </si>
  <si>
    <t>Stk Nachzucht</t>
  </si>
  <si>
    <t>Bedarf/Jahr=Kuhzahl/Nutzungsdauer</t>
  </si>
  <si>
    <t>Erläuterungen:</t>
  </si>
  <si>
    <t>Anzahl Jungvieh(EKA!)=Kuhzahl/Nutzungsdauer*Erstkalbealter/12</t>
  </si>
  <si>
    <t>Einheit der Kalkulation:</t>
  </si>
  <si>
    <t>(gelegentlich Verkauf von Kalbinnen)</t>
  </si>
  <si>
    <t>trächtige Kalbin (Verkauf)</t>
  </si>
  <si>
    <t>Kalbinnenverkauf</t>
  </si>
  <si>
    <t>Stk/Jahr</t>
  </si>
  <si>
    <t>Besamungsindex</t>
  </si>
  <si>
    <r>
      <rPr>
        <b/>
        <sz val="14"/>
        <rFont val="Verdana"/>
        <family val="2"/>
      </rPr>
      <t>Kälberaufzuchtkosten</t>
    </r>
    <r>
      <rPr>
        <sz val="14"/>
        <rFont val="Verdana"/>
        <family val="2"/>
      </rPr>
      <t xml:space="preserve"> für 1 Stk bis 80 kg LG</t>
    </r>
  </si>
  <si>
    <t>Betriebslehre LLA-Weitau     H.Erber</t>
  </si>
  <si>
    <r>
      <rPr>
        <b/>
        <sz val="14"/>
        <rFont val="Verdana"/>
        <family val="2"/>
      </rPr>
      <t>Jungviehaufzuchtkosten</t>
    </r>
    <r>
      <rPr>
        <sz val="14"/>
        <rFont val="Verdana"/>
        <family val="2"/>
      </rPr>
      <t xml:space="preserve"> für 1 Stk</t>
    </r>
    <r>
      <rPr>
        <sz val="9"/>
        <rFont val="Verdana"/>
        <family val="2"/>
      </rPr>
      <t xml:space="preserve"> ab 80 kg LG (Grundfutter s.oben)</t>
    </r>
  </si>
  <si>
    <t>Bestandesergänzung (noch ohne Grundfutter):</t>
  </si>
  <si>
    <t>Maschinen- und Energiekosten:</t>
  </si>
  <si>
    <t>Sonstiges:</t>
  </si>
  <si>
    <r>
      <rPr>
        <b/>
        <sz val="10"/>
        <rFont val="Verdana"/>
        <family val="2"/>
      </rPr>
      <t>HINWEIS</t>
    </r>
    <r>
      <rPr>
        <sz val="10"/>
        <rFont val="Verdana"/>
        <family val="2"/>
      </rPr>
      <t xml:space="preserve">: Diese Kalkulation versucht, den Teilbereich "Kombinierte Milchviehhaltung" bestmöglich und mit eigenen Daten abzubilden zu können. Wie auch immer das Ergebnis aussieht - es bildet nur DIESE Aktivität ab und berücksichtigt noch nicht das Vorhandensein weiterer Betriebszweige, mögliche Förderungen, Neben- und Sozialeinkommen...
</t>
    </r>
  </si>
  <si>
    <t>Grundfutterzukauf</t>
  </si>
  <si>
    <t>Zukaufsfutter</t>
  </si>
  <si>
    <t>Zukaufsfutter insgesamt</t>
  </si>
  <si>
    <t>Viehtrieb/Alm bzw.</t>
  </si>
  <si>
    <t>Exakt</t>
  </si>
  <si>
    <t>Die in dieser Farbe gekennzeichneten Felder enthalten Daten aus zuvor bearbeiteter Datei
 "MK6a-Verfahrenskosten Zweischnittwiese BEISPIEL (.xls)" und optional "ZM3-Arbeitswirtschaft Milchviehstall (.xls)"</t>
  </si>
  <si>
    <t>Viehverkauf</t>
  </si>
  <si>
    <t>kalkulatorisch</t>
  </si>
  <si>
    <t>Altkuherlös + Verkaufskalbinnen</t>
  </si>
  <si>
    <t>oder pro Akh</t>
  </si>
  <si>
    <t>verkürzt</t>
  </si>
  <si>
    <t>AnZahl Kühe/2</t>
  </si>
  <si>
    <t>1/ND*Kühe</t>
  </si>
  <si>
    <t>Anz Kühe/ND*EKA/12</t>
  </si>
  <si>
    <t>(D46&lt;=0;0;D46*Verkaufsgewicht_Kälber*Kälberpreis_w</t>
  </si>
  <si>
    <t>Kälber_w-Bedarf_pro_Jahr-Anz_Verkaufskalbinnen</t>
  </si>
  <si>
    <t>Stall</t>
  </si>
  <si>
    <t>Fettgehalt</t>
  </si>
  <si>
    <t>Eiweißgehalt</t>
  </si>
  <si>
    <t>Stallhaltungstage</t>
  </si>
  <si>
    <t>Gesamtbedarf/Kuh und Tag</t>
  </si>
  <si>
    <t>Gesamtbedarf/alle Kühe undStallhaltungstage</t>
  </si>
  <si>
    <t>Gesamtbedarf/Kuh undStallhaltungstage</t>
  </si>
  <si>
    <t>MJ NEL</t>
  </si>
  <si>
    <t>g RP</t>
  </si>
  <si>
    <t>Erhaltungsbedarf/Tag</t>
  </si>
  <si>
    <t>Leistungsbedarf/Tag</t>
  </si>
  <si>
    <t>Durchschnittsleistung</t>
  </si>
  <si>
    <t>Milchmarktleistung Betrieb</t>
  </si>
  <si>
    <t>ver. 16.11</t>
  </si>
  <si>
    <t>Leistungen</t>
  </si>
  <si>
    <t>Anbindehaltung, Eimermelkanlage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</si>
</sst>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0.0"/>
    <numFmt numFmtId="166" formatCode="0.000"/>
    <numFmt numFmtId="167" formatCode="0.0%"/>
    <numFmt numFmtId="168" formatCode="0\ &quot;kg&quot;"/>
    <numFmt numFmtId="169" formatCode="_-* #,##0.00\ [$€]_-;\-* #,##0.00\ [$€]_-;_-* &quot;-&quot;??\ [$€]_-;_-@_-"/>
    <numFmt numFmtId="170" formatCode="#,##0.0_ ;\-#,##0.0\ "/>
    <numFmt numFmtId="171" formatCode="_-* #,##0.00\ [$€-40A]_-;\-* #,##0.00\ [$€-40A]_-;_-* &quot;-&quot;??\ [$€-40A]_-;_-@_-"/>
    <numFmt numFmtId="172" formatCode="_-* #,##0.00\ [$€-407]_-;\-* #,##0.00\ [$€-407]_-;_-* &quot;-&quot;??\ [$€-407]_-;_-@_-"/>
    <numFmt numFmtId="173" formatCode="#,##0.00\ [$€-40A];[Red]\-#,##0.00\ [$€-40A]"/>
  </numFmts>
  <fonts count="34" x14ac:knownFonts="1">
    <font>
      <sz val="10"/>
      <name val="Arial"/>
    </font>
    <font>
      <sz val="10"/>
      <name val="Arial"/>
      <family val="2"/>
    </font>
    <font>
      <sz val="1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8"/>
      <color indexed="81"/>
      <name val="Tahom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b/>
      <u/>
      <sz val="9"/>
      <name val="Verdana"/>
      <family val="2"/>
    </font>
    <font>
      <sz val="8"/>
      <color indexed="10"/>
      <name val="Verdana"/>
      <family val="2"/>
    </font>
    <font>
      <b/>
      <sz val="10"/>
      <color indexed="10"/>
      <name val="Verdana"/>
      <family val="2"/>
    </font>
    <font>
      <b/>
      <sz val="12"/>
      <color indexed="81"/>
      <name val="Tahoma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b/>
      <sz val="10"/>
      <color indexed="13"/>
      <name val="Verdana"/>
      <family val="2"/>
    </font>
    <font>
      <sz val="8"/>
      <color indexed="8"/>
      <name val="Verdana"/>
      <family val="2"/>
    </font>
    <font>
      <u/>
      <sz val="12"/>
      <color indexed="12"/>
      <name val="Arial"/>
      <family val="2"/>
    </font>
    <font>
      <b/>
      <sz val="8"/>
      <name val="Verdana"/>
      <family val="2"/>
    </font>
    <font>
      <b/>
      <sz val="9"/>
      <color indexed="81"/>
      <name val="Tahoma"/>
      <family val="2"/>
    </font>
    <font>
      <b/>
      <sz val="9"/>
      <color indexed="13"/>
      <name val="Verdana"/>
      <family val="2"/>
    </font>
    <font>
      <sz val="10"/>
      <color theme="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sz val="8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3" fillId="2" borderId="1" xfId="0" applyFont="1" applyFill="1" applyBorder="1" applyProtection="1">
      <protection locked="0"/>
    </xf>
    <xf numFmtId="167" fontId="3" fillId="2" borderId="1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Protection="1">
      <protection locked="0"/>
    </xf>
    <xf numFmtId="9" fontId="7" fillId="3" borderId="0" xfId="0" applyNumberFormat="1" applyFont="1" applyFill="1" applyBorder="1" applyAlignment="1" applyProtection="1">
      <alignment horizontal="right"/>
      <protection locked="0"/>
    </xf>
    <xf numFmtId="169" fontId="3" fillId="2" borderId="1" xfId="1" applyFont="1" applyFill="1" applyBorder="1" applyProtection="1">
      <protection locked="0"/>
    </xf>
    <xf numFmtId="169" fontId="3" fillId="2" borderId="1" xfId="1" applyNumberFormat="1" applyFont="1" applyFill="1" applyBorder="1" applyProtection="1">
      <protection locked="0"/>
    </xf>
    <xf numFmtId="169" fontId="3" fillId="3" borderId="2" xfId="1" applyFont="1" applyFill="1" applyBorder="1" applyProtection="1">
      <protection locked="0"/>
    </xf>
    <xf numFmtId="169" fontId="7" fillId="3" borderId="0" xfId="1" applyFont="1" applyFill="1" applyBorder="1" applyAlignment="1" applyProtection="1">
      <alignment horizontal="right"/>
      <protection locked="0"/>
    </xf>
    <xf numFmtId="169" fontId="7" fillId="3" borderId="2" xfId="1" applyFont="1" applyFill="1" applyBorder="1" applyAlignment="1" applyProtection="1">
      <alignment horizontal="right"/>
      <protection locked="0"/>
    </xf>
    <xf numFmtId="169" fontId="7" fillId="3" borderId="3" xfId="1" applyFont="1" applyFill="1" applyBorder="1" applyAlignment="1" applyProtection="1">
      <alignment horizontal="right"/>
      <protection locked="0"/>
    </xf>
    <xf numFmtId="169" fontId="10" fillId="3" borderId="4" xfId="1" applyFont="1" applyFill="1" applyBorder="1" applyProtection="1">
      <protection locked="0"/>
    </xf>
    <xf numFmtId="169" fontId="7" fillId="3" borderId="1" xfId="1" applyFont="1" applyFill="1" applyBorder="1" applyProtection="1">
      <protection locked="0"/>
    </xf>
    <xf numFmtId="0" fontId="22" fillId="0" borderId="0" xfId="2" applyBorder="1" applyAlignment="1" applyProtection="1">
      <alignment horizontal="center"/>
    </xf>
    <xf numFmtId="168" fontId="10" fillId="3" borderId="4" xfId="0" applyNumberFormat="1" applyFont="1" applyFill="1" applyBorder="1" applyProtection="1">
      <protection locked="0"/>
    </xf>
    <xf numFmtId="169" fontId="10" fillId="3" borderId="1" xfId="1" applyFont="1" applyFill="1" applyBorder="1" applyProtection="1">
      <protection locked="0"/>
    </xf>
    <xf numFmtId="169" fontId="10" fillId="3" borderId="5" xfId="1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10" fillId="3" borderId="6" xfId="0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13" fillId="0" borderId="0" xfId="0" applyFont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Continuous"/>
    </xf>
    <xf numFmtId="0" fontId="13" fillId="0" borderId="0" xfId="0" applyFont="1" applyProtection="1"/>
    <xf numFmtId="0" fontId="3" fillId="0" borderId="0" xfId="0" applyFont="1" applyFill="1" applyProtection="1"/>
    <xf numFmtId="0" fontId="7" fillId="4" borderId="8" xfId="0" applyFont="1" applyFill="1" applyBorder="1" applyProtection="1"/>
    <xf numFmtId="0" fontId="7" fillId="4" borderId="2" xfId="0" applyFont="1" applyFill="1" applyBorder="1" applyProtection="1"/>
    <xf numFmtId="0" fontId="3" fillId="4" borderId="1" xfId="0" applyFont="1" applyFill="1" applyBorder="1" applyProtection="1"/>
    <xf numFmtId="0" fontId="3" fillId="4" borderId="9" xfId="0" applyFont="1" applyFill="1" applyBorder="1" applyProtection="1"/>
    <xf numFmtId="0" fontId="7" fillId="4" borderId="10" xfId="0" applyFont="1" applyFill="1" applyBorder="1" applyProtection="1"/>
    <xf numFmtId="0" fontId="3" fillId="4" borderId="0" xfId="0" applyFont="1" applyFill="1" applyBorder="1" applyProtection="1"/>
    <xf numFmtId="0" fontId="3" fillId="4" borderId="11" xfId="0" applyFont="1" applyFill="1" applyBorder="1" applyProtection="1"/>
    <xf numFmtId="0" fontId="7" fillId="4" borderId="11" xfId="0" applyFont="1" applyFill="1" applyBorder="1" applyProtection="1"/>
    <xf numFmtId="0" fontId="7" fillId="4" borderId="12" xfId="0" applyFont="1" applyFill="1" applyBorder="1" applyProtection="1"/>
    <xf numFmtId="0" fontId="3" fillId="4" borderId="3" xfId="0" applyFont="1" applyFill="1" applyBorder="1" applyProtection="1"/>
    <xf numFmtId="0" fontId="3" fillId="4" borderId="13" xfId="0" applyFont="1" applyFill="1" applyBorder="1" applyProtection="1"/>
    <xf numFmtId="0" fontId="7" fillId="0" borderId="8" xfId="0" applyFont="1" applyBorder="1" applyProtection="1"/>
    <xf numFmtId="0" fontId="12" fillId="5" borderId="2" xfId="0" applyFont="1" applyFill="1" applyBorder="1" applyProtection="1"/>
    <xf numFmtId="0" fontId="7" fillId="0" borderId="2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169" fontId="7" fillId="0" borderId="0" xfId="1" applyFont="1" applyBorder="1" applyProtection="1"/>
    <xf numFmtId="1" fontId="7" fillId="0" borderId="0" xfId="0" applyNumberFormat="1" applyFont="1" applyBorder="1" applyProtection="1"/>
    <xf numFmtId="0" fontId="7" fillId="0" borderId="11" xfId="0" applyFont="1" applyBorder="1" applyProtection="1"/>
    <xf numFmtId="0" fontId="7" fillId="0" borderId="0" xfId="0" applyFont="1" applyFill="1" applyBorder="1" applyProtection="1"/>
    <xf numFmtId="169" fontId="29" fillId="0" borderId="0" xfId="1" applyFont="1" applyBorder="1" applyProtection="1"/>
    <xf numFmtId="172" fontId="7" fillId="0" borderId="0" xfId="0" applyNumberFormat="1" applyFont="1" applyProtection="1"/>
    <xf numFmtId="0" fontId="7" fillId="0" borderId="12" xfId="0" applyFont="1" applyBorder="1" applyProtection="1"/>
    <xf numFmtId="0" fontId="7" fillId="0" borderId="3" xfId="0" applyFont="1" applyBorder="1" applyProtection="1"/>
    <xf numFmtId="169" fontId="3" fillId="0" borderId="14" xfId="1" applyFont="1" applyBorder="1" applyProtection="1"/>
    <xf numFmtId="0" fontId="7" fillId="5" borderId="2" xfId="0" applyFont="1" applyFill="1" applyBorder="1" applyProtection="1"/>
    <xf numFmtId="0" fontId="7" fillId="0" borderId="0" xfId="0" applyFont="1" applyFill="1" applyProtection="1"/>
    <xf numFmtId="2" fontId="30" fillId="0" borderId="0" xfId="0" applyNumberFormat="1" applyFont="1" applyBorder="1" applyProtection="1"/>
    <xf numFmtId="0" fontId="7" fillId="0" borderId="15" xfId="0" applyFont="1" applyBorder="1" applyProtection="1"/>
    <xf numFmtId="169" fontId="26" fillId="0" borderId="16" xfId="1" applyFont="1" applyBorder="1" applyProtection="1"/>
    <xf numFmtId="169" fontId="3" fillId="0" borderId="15" xfId="1" applyFont="1" applyFill="1" applyBorder="1" applyProtection="1"/>
    <xf numFmtId="0" fontId="17" fillId="6" borderId="3" xfId="0" applyFont="1" applyFill="1" applyBorder="1" applyProtection="1"/>
    <xf numFmtId="0" fontId="14" fillId="6" borderId="3" xfId="0" applyFont="1" applyFill="1" applyBorder="1" applyProtection="1"/>
    <xf numFmtId="166" fontId="18" fillId="6" borderId="13" xfId="0" applyNumberFormat="1" applyFont="1" applyFill="1" applyBorder="1" applyProtection="1"/>
    <xf numFmtId="0" fontId="12" fillId="5" borderId="0" xfId="0" applyFont="1" applyFill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169" fontId="3" fillId="5" borderId="20" xfId="1" applyFont="1" applyFill="1" applyBorder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1" fontId="3" fillId="0" borderId="22" xfId="0" applyNumberFormat="1" applyFont="1" applyBorder="1" applyProtection="1"/>
    <xf numFmtId="169" fontId="3" fillId="5" borderId="23" xfId="1" applyFont="1" applyFill="1" applyBorder="1" applyProtection="1"/>
    <xf numFmtId="0" fontId="3" fillId="5" borderId="8" xfId="0" applyFont="1" applyFill="1" applyBorder="1" applyProtection="1"/>
    <xf numFmtId="0" fontId="3" fillId="5" borderId="2" xfId="0" applyFont="1" applyFill="1" applyBorder="1" applyProtection="1"/>
    <xf numFmtId="0" fontId="3" fillId="0" borderId="9" xfId="0" applyFont="1" applyBorder="1" applyAlignment="1" applyProtection="1">
      <alignment horizontal="right"/>
    </xf>
    <xf numFmtId="165" fontId="3" fillId="0" borderId="11" xfId="0" applyNumberFormat="1" applyFont="1" applyBorder="1" applyProtection="1"/>
    <xf numFmtId="165" fontId="3" fillId="0" borderId="13" xfId="0" applyNumberFormat="1" applyFont="1" applyBorder="1" applyProtection="1"/>
    <xf numFmtId="0" fontId="15" fillId="7" borderId="0" xfId="0" applyFont="1" applyFill="1" applyProtection="1"/>
    <xf numFmtId="0" fontId="4" fillId="7" borderId="0" xfId="0" applyFont="1" applyFill="1" applyProtection="1"/>
    <xf numFmtId="0" fontId="3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right"/>
    </xf>
    <xf numFmtId="2" fontId="7" fillId="0" borderId="11" xfId="0" applyNumberFormat="1" applyFont="1" applyBorder="1" applyProtection="1"/>
    <xf numFmtId="169" fontId="3" fillId="0" borderId="24" xfId="1" applyFont="1" applyBorder="1" applyProtection="1"/>
    <xf numFmtId="1" fontId="7" fillId="0" borderId="0" xfId="0" applyNumberFormat="1" applyFont="1" applyProtection="1"/>
    <xf numFmtId="0" fontId="3" fillId="0" borderId="10" xfId="0" applyFont="1" applyBorder="1" applyProtection="1"/>
    <xf numFmtId="169" fontId="7" fillId="0" borderId="11" xfId="1" applyFont="1" applyBorder="1" applyProtection="1"/>
    <xf numFmtId="167" fontId="7" fillId="0" borderId="0" xfId="0" applyNumberFormat="1" applyFont="1" applyBorder="1" applyProtection="1"/>
    <xf numFmtId="0" fontId="3" fillId="0" borderId="8" xfId="0" applyFont="1" applyBorder="1" applyProtection="1"/>
    <xf numFmtId="1" fontId="7" fillId="0" borderId="9" xfId="0" applyNumberFormat="1" applyFont="1" applyBorder="1" applyProtection="1"/>
    <xf numFmtId="169" fontId="3" fillId="0" borderId="25" xfId="1" applyFont="1" applyBorder="1" applyProtection="1"/>
    <xf numFmtId="0" fontId="3" fillId="0" borderId="12" xfId="0" applyFont="1" applyBorder="1" applyProtection="1"/>
    <xf numFmtId="1" fontId="7" fillId="0" borderId="11" xfId="0" applyNumberFormat="1" applyFont="1" applyBorder="1" applyProtection="1"/>
    <xf numFmtId="169" fontId="7" fillId="0" borderId="0" xfId="1" applyFont="1" applyProtection="1"/>
    <xf numFmtId="169" fontId="7" fillId="0" borderId="9" xfId="1" applyFont="1" applyBorder="1" applyProtection="1"/>
    <xf numFmtId="2" fontId="7" fillId="0" borderId="3" xfId="0" applyNumberFormat="1" applyFont="1" applyBorder="1" applyProtection="1"/>
    <xf numFmtId="0" fontId="3" fillId="5" borderId="26" xfId="0" applyFont="1" applyFill="1" applyBorder="1" applyProtection="1"/>
    <xf numFmtId="0" fontId="3" fillId="5" borderId="27" xfId="0" applyFont="1" applyFill="1" applyBorder="1" applyProtection="1"/>
    <xf numFmtId="0" fontId="3" fillId="5" borderId="28" xfId="0" applyFont="1" applyFill="1" applyBorder="1" applyProtection="1"/>
    <xf numFmtId="0" fontId="3" fillId="5" borderId="0" xfId="0" applyFont="1" applyFill="1" applyBorder="1" applyProtection="1"/>
    <xf numFmtId="169" fontId="3" fillId="5" borderId="11" xfId="1" applyFont="1" applyFill="1" applyBorder="1" applyProtection="1"/>
    <xf numFmtId="0" fontId="3" fillId="5" borderId="3" xfId="0" applyFont="1" applyFill="1" applyBorder="1" applyProtection="1"/>
    <xf numFmtId="169" fontId="3" fillId="5" borderId="13" xfId="1" applyFont="1" applyFill="1" applyBorder="1" applyProtection="1"/>
    <xf numFmtId="0" fontId="3" fillId="0" borderId="26" xfId="0" applyFont="1" applyBorder="1" applyAlignment="1" applyProtection="1">
      <alignment horizontal="centerContinuous"/>
    </xf>
    <xf numFmtId="0" fontId="3" fillId="0" borderId="28" xfId="0" applyFont="1" applyBorder="1" applyAlignment="1" applyProtection="1">
      <alignment horizontal="centerContinuous"/>
    </xf>
    <xf numFmtId="0" fontId="7" fillId="0" borderId="28" xfId="0" applyFont="1" applyBorder="1" applyAlignment="1" applyProtection="1">
      <alignment horizontal="centerContinuous"/>
    </xf>
    <xf numFmtId="0" fontId="7" fillId="5" borderId="29" xfId="0" applyFont="1" applyFill="1" applyBorder="1" applyProtection="1"/>
    <xf numFmtId="0" fontId="7" fillId="5" borderId="18" xfId="0" applyFont="1" applyFill="1" applyBorder="1" applyProtection="1"/>
    <xf numFmtId="169" fontId="7" fillId="5" borderId="18" xfId="1" applyFont="1" applyFill="1" applyBorder="1" applyProtection="1"/>
    <xf numFmtId="0" fontId="7" fillId="5" borderId="10" xfId="0" applyFont="1" applyFill="1" applyBorder="1" applyProtection="1"/>
    <xf numFmtId="0" fontId="7" fillId="5" borderId="0" xfId="0" applyFont="1" applyFill="1" applyBorder="1" applyProtection="1"/>
    <xf numFmtId="169" fontId="3" fillId="8" borderId="30" xfId="1" applyFont="1" applyFill="1" applyBorder="1" applyProtection="1"/>
    <xf numFmtId="0" fontId="7" fillId="5" borderId="12" xfId="0" applyFont="1" applyFill="1" applyBorder="1" applyProtection="1"/>
    <xf numFmtId="0" fontId="7" fillId="5" borderId="3" xfId="0" applyFont="1" applyFill="1" applyBorder="1" applyProtection="1"/>
    <xf numFmtId="169" fontId="8" fillId="7" borderId="14" xfId="1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Continuous"/>
    </xf>
    <xf numFmtId="0" fontId="3" fillId="0" borderId="16" xfId="0" applyFont="1" applyBorder="1" applyAlignment="1" applyProtection="1">
      <alignment horizontal="centerContinuous"/>
    </xf>
    <xf numFmtId="169" fontId="20" fillId="5" borderId="31" xfId="1" applyFont="1" applyFill="1" applyBorder="1" applyAlignment="1" applyProtection="1">
      <alignment horizontal="center"/>
    </xf>
    <xf numFmtId="173" fontId="12" fillId="5" borderId="15" xfId="1" applyNumberFormat="1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169" fontId="20" fillId="0" borderId="31" xfId="1" applyFont="1" applyBorder="1" applyAlignment="1" applyProtection="1">
      <alignment horizontal="center"/>
    </xf>
    <xf numFmtId="173" fontId="12" fillId="0" borderId="0" xfId="1" applyNumberFormat="1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169" fontId="20" fillId="0" borderId="33" xfId="1" applyFont="1" applyBorder="1" applyAlignment="1" applyProtection="1">
      <alignment horizontal="center"/>
    </xf>
    <xf numFmtId="169" fontId="20" fillId="0" borderId="34" xfId="1" applyFont="1" applyBorder="1" applyAlignment="1" applyProtection="1">
      <alignment horizontal="center"/>
    </xf>
    <xf numFmtId="173" fontId="12" fillId="0" borderId="22" xfId="1" applyNumberFormat="1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169" fontId="21" fillId="0" borderId="31" xfId="1" applyFont="1" applyBorder="1" applyAlignment="1" applyProtection="1">
      <alignment horizontal="center"/>
    </xf>
    <xf numFmtId="173" fontId="6" fillId="0" borderId="17" xfId="1" applyNumberFormat="1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169" fontId="21" fillId="0" borderId="33" xfId="1" applyFont="1" applyBorder="1" applyAlignment="1" applyProtection="1">
      <alignment horizontal="center"/>
    </xf>
    <xf numFmtId="173" fontId="6" fillId="0" borderId="19" xfId="1" applyNumberFormat="1" applyFont="1" applyBorder="1" applyAlignment="1" applyProtection="1">
      <alignment horizontal="center"/>
    </xf>
    <xf numFmtId="165" fontId="6" fillId="0" borderId="32" xfId="0" applyNumberFormat="1" applyFont="1" applyBorder="1" applyAlignment="1" applyProtection="1">
      <alignment horizontal="center"/>
    </xf>
    <xf numFmtId="169" fontId="21" fillId="0" borderId="34" xfId="1" applyFont="1" applyBorder="1" applyAlignment="1" applyProtection="1">
      <alignment horizontal="center"/>
    </xf>
    <xf numFmtId="173" fontId="6" fillId="0" borderId="21" xfId="1" applyNumberFormat="1" applyFont="1" applyBorder="1" applyAlignment="1" applyProtection="1">
      <alignment horizontal="center"/>
    </xf>
    <xf numFmtId="165" fontId="6" fillId="0" borderId="35" xfId="0" applyNumberFormat="1" applyFont="1" applyBorder="1" applyAlignment="1" applyProtection="1">
      <alignment horizontal="center"/>
    </xf>
    <xf numFmtId="0" fontId="7" fillId="0" borderId="37" xfId="0" applyFont="1" applyBorder="1" applyProtection="1"/>
    <xf numFmtId="0" fontId="7" fillId="5" borderId="37" xfId="0" applyFont="1" applyFill="1" applyBorder="1" applyProtection="1"/>
    <xf numFmtId="0" fontId="7" fillId="5" borderId="16" xfId="0" applyFont="1" applyFill="1" applyBorder="1" applyProtection="1"/>
    <xf numFmtId="169" fontId="10" fillId="9" borderId="0" xfId="1" applyFont="1" applyFill="1" applyBorder="1" applyProtection="1"/>
    <xf numFmtId="0" fontId="10" fillId="9" borderId="38" xfId="0" applyFont="1" applyFill="1" applyBorder="1" applyProtection="1"/>
    <xf numFmtId="0" fontId="10" fillId="0" borderId="39" xfId="0" applyFont="1" applyBorder="1" applyProtection="1"/>
    <xf numFmtId="169" fontId="10" fillId="0" borderId="3" xfId="1" applyFont="1" applyBorder="1" applyProtection="1"/>
    <xf numFmtId="0" fontId="10" fillId="0" borderId="40" xfId="0" applyFont="1" applyBorder="1" applyProtection="1"/>
    <xf numFmtId="169" fontId="10" fillId="0" borderId="4" xfId="1" applyFont="1" applyBorder="1" applyProtection="1"/>
    <xf numFmtId="0" fontId="10" fillId="0" borderId="37" xfId="0" applyFont="1" applyBorder="1" applyProtection="1"/>
    <xf numFmtId="2" fontId="10" fillId="0" borderId="37" xfId="0" applyNumberFormat="1" applyFont="1" applyFill="1" applyBorder="1" applyProtection="1"/>
    <xf numFmtId="169" fontId="10" fillId="0" borderId="37" xfId="1" applyFont="1" applyBorder="1" applyProtection="1"/>
    <xf numFmtId="169" fontId="10" fillId="5" borderId="37" xfId="1" applyFont="1" applyFill="1" applyBorder="1" applyProtection="1"/>
    <xf numFmtId="0" fontId="7" fillId="9" borderId="41" xfId="0" applyFont="1" applyFill="1" applyBorder="1" applyProtection="1"/>
    <xf numFmtId="0" fontId="7" fillId="9" borderId="42" xfId="0" applyFont="1" applyFill="1" applyBorder="1" applyProtection="1"/>
    <xf numFmtId="0" fontId="7" fillId="9" borderId="43" xfId="0" applyFont="1" applyFill="1" applyBorder="1" applyProtection="1"/>
    <xf numFmtId="0" fontId="7" fillId="5" borderId="39" xfId="0" applyFont="1" applyFill="1" applyBorder="1" applyProtection="1"/>
    <xf numFmtId="0" fontId="7" fillId="10" borderId="0" xfId="0" applyFont="1" applyFill="1" applyBorder="1" applyProtection="1"/>
    <xf numFmtId="0" fontId="7" fillId="10" borderId="38" xfId="0" applyFont="1" applyFill="1" applyBorder="1" applyProtection="1"/>
    <xf numFmtId="0" fontId="7" fillId="0" borderId="44" xfId="0" applyFont="1" applyBorder="1" applyProtection="1"/>
    <xf numFmtId="0" fontId="7" fillId="0" borderId="1" xfId="0" applyFont="1" applyBorder="1" applyProtection="1"/>
    <xf numFmtId="169" fontId="7" fillId="0" borderId="1" xfId="1" applyFont="1" applyBorder="1" applyProtection="1"/>
    <xf numFmtId="0" fontId="7" fillId="0" borderId="40" xfId="0" applyFont="1" applyBorder="1" applyProtection="1"/>
    <xf numFmtId="169" fontId="7" fillId="5" borderId="16" xfId="1" applyFont="1" applyFill="1" applyBorder="1" applyProtection="1"/>
    <xf numFmtId="0" fontId="7" fillId="10" borderId="39" xfId="0" applyFont="1" applyFill="1" applyBorder="1" applyProtection="1"/>
    <xf numFmtId="169" fontId="7" fillId="5" borderId="30" xfId="1" applyFont="1" applyFill="1" applyBorder="1" applyProtection="1"/>
    <xf numFmtId="0" fontId="7" fillId="10" borderId="41" xfId="0" applyFont="1" applyFill="1" applyBorder="1" applyProtection="1"/>
    <xf numFmtId="0" fontId="7" fillId="10" borderId="42" xfId="0" applyFont="1" applyFill="1" applyBorder="1" applyProtection="1"/>
    <xf numFmtId="0" fontId="7" fillId="10" borderId="43" xfId="0" applyFont="1" applyFill="1" applyBorder="1" applyProtection="1"/>
    <xf numFmtId="0" fontId="7" fillId="13" borderId="0" xfId="0" applyFont="1" applyFill="1" applyBorder="1" applyProtection="1"/>
    <xf numFmtId="0" fontId="7" fillId="13" borderId="38" xfId="0" applyFont="1" applyFill="1" applyBorder="1" applyProtection="1"/>
    <xf numFmtId="169" fontId="7" fillId="0" borderId="1" xfId="0" applyNumberFormat="1" applyFont="1" applyBorder="1" applyProtection="1"/>
    <xf numFmtId="0" fontId="7" fillId="0" borderId="5" xfId="0" applyFont="1" applyBorder="1" applyProtection="1"/>
    <xf numFmtId="169" fontId="7" fillId="0" borderId="5" xfId="0" applyNumberFormat="1" applyFont="1" applyBorder="1" applyProtection="1"/>
    <xf numFmtId="0" fontId="7" fillId="10" borderId="40" xfId="0" applyFont="1" applyFill="1" applyBorder="1" applyProtection="1"/>
    <xf numFmtId="0" fontId="7" fillId="10" borderId="37" xfId="0" applyFont="1" applyFill="1" applyBorder="1" applyProtection="1"/>
    <xf numFmtId="0" fontId="7" fillId="13" borderId="37" xfId="0" applyFont="1" applyFill="1" applyBorder="1" applyProtection="1"/>
    <xf numFmtId="0" fontId="7" fillId="14" borderId="42" xfId="0" applyFont="1" applyFill="1" applyBorder="1" applyProtection="1"/>
    <xf numFmtId="169" fontId="7" fillId="5" borderId="45" xfId="1" applyFont="1" applyFill="1" applyBorder="1" applyProtection="1"/>
    <xf numFmtId="0" fontId="7" fillId="13" borderId="42" xfId="0" applyFont="1" applyFill="1" applyBorder="1" applyProtection="1"/>
    <xf numFmtId="0" fontId="7" fillId="13" borderId="43" xfId="0" applyFont="1" applyFill="1" applyBorder="1" applyProtection="1"/>
    <xf numFmtId="0" fontId="10" fillId="9" borderId="0" xfId="0" applyFont="1" applyFill="1" applyBorder="1" applyProtection="1"/>
    <xf numFmtId="0" fontId="10" fillId="9" borderId="39" xfId="0" applyFont="1" applyFill="1" applyBorder="1" applyProtection="1"/>
    <xf numFmtId="0" fontId="7" fillId="0" borderId="46" xfId="0" applyFont="1" applyBorder="1" applyProtection="1"/>
    <xf numFmtId="0" fontId="4" fillId="0" borderId="0" xfId="0" applyFont="1" applyProtection="1"/>
    <xf numFmtId="0" fontId="10" fillId="9" borderId="41" xfId="0" applyFont="1" applyFill="1" applyBorder="1" applyProtection="1"/>
    <xf numFmtId="0" fontId="10" fillId="9" borderId="42" xfId="0" applyFont="1" applyFill="1" applyBorder="1" applyProtection="1"/>
    <xf numFmtId="0" fontId="10" fillId="9" borderId="43" xfId="0" applyFont="1" applyFill="1" applyBorder="1" applyProtection="1"/>
    <xf numFmtId="169" fontId="10" fillId="5" borderId="16" xfId="1" applyFont="1" applyFill="1" applyBorder="1" applyProtection="1"/>
    <xf numFmtId="0" fontId="7" fillId="10" borderId="37" xfId="0" applyFont="1" applyFill="1" applyBorder="1" applyProtection="1">
      <protection locked="0"/>
    </xf>
    <xf numFmtId="0" fontId="31" fillId="0" borderId="0" xfId="0" applyFont="1" applyAlignment="1" applyProtection="1">
      <alignment horizontal="right"/>
    </xf>
    <xf numFmtId="2" fontId="7" fillId="0" borderId="0" xfId="0" applyNumberFormat="1" applyFont="1" applyProtection="1"/>
    <xf numFmtId="165" fontId="7" fillId="0" borderId="0" xfId="0" applyNumberFormat="1" applyFont="1" applyBorder="1" applyProtection="1"/>
    <xf numFmtId="0" fontId="3" fillId="3" borderId="0" xfId="0" applyFont="1" applyFill="1" applyBorder="1" applyAlignment="1" applyProtection="1">
      <alignment horizontal="center"/>
      <protection locked="0"/>
    </xf>
    <xf numFmtId="169" fontId="11" fillId="0" borderId="4" xfId="1" applyFont="1" applyBorder="1" applyProtection="1"/>
    <xf numFmtId="0" fontId="7" fillId="15" borderId="0" xfId="0" applyFont="1" applyFill="1" applyProtection="1"/>
    <xf numFmtId="2" fontId="7" fillId="0" borderId="1" xfId="0" applyNumberFormat="1" applyFont="1" applyBorder="1" applyProtection="1"/>
    <xf numFmtId="2" fontId="31" fillId="0" borderId="1" xfId="0" applyNumberFormat="1" applyFont="1" applyFill="1" applyBorder="1" applyProtection="1"/>
    <xf numFmtId="8" fontId="7" fillId="0" borderId="0" xfId="0" applyNumberFormat="1" applyFont="1" applyBorder="1" applyProtection="1"/>
    <xf numFmtId="0" fontId="7" fillId="0" borderId="0" xfId="0" applyFont="1" applyAlignment="1" applyProtection="1">
      <alignment horizontal="left" indent="1"/>
    </xf>
    <xf numFmtId="0" fontId="23" fillId="11" borderId="0" xfId="0" applyFont="1" applyFill="1" applyBorder="1" applyAlignment="1" applyProtection="1">
      <alignment horizontal="center"/>
      <protection locked="0"/>
    </xf>
    <xf numFmtId="169" fontId="23" fillId="11" borderId="3" xfId="1" applyFont="1" applyFill="1" applyBorder="1" applyAlignment="1" applyProtection="1">
      <alignment horizontal="right"/>
      <protection locked="0"/>
    </xf>
    <xf numFmtId="169" fontId="23" fillId="11" borderId="1" xfId="1" applyFont="1" applyFill="1" applyBorder="1" applyProtection="1">
      <protection locked="0"/>
    </xf>
    <xf numFmtId="0" fontId="10" fillId="0" borderId="47" xfId="0" applyFont="1" applyBorder="1" applyAlignment="1" applyProtection="1">
      <alignment horizontal="left"/>
    </xf>
    <xf numFmtId="169" fontId="28" fillId="11" borderId="3" xfId="1" applyFont="1" applyFill="1" applyBorder="1" applyProtection="1">
      <protection locked="0"/>
    </xf>
    <xf numFmtId="170" fontId="10" fillId="10" borderId="3" xfId="1" applyNumberFormat="1" applyFont="1" applyFill="1" applyBorder="1" applyProtection="1"/>
    <xf numFmtId="0" fontId="21" fillId="6" borderId="48" xfId="0" applyFont="1" applyFill="1" applyBorder="1" applyAlignment="1" applyProtection="1">
      <alignment horizontal="left"/>
    </xf>
    <xf numFmtId="0" fontId="21" fillId="6" borderId="49" xfId="0" applyFont="1" applyFill="1" applyBorder="1" applyAlignment="1" applyProtection="1">
      <alignment horizontal="left"/>
    </xf>
    <xf numFmtId="0" fontId="9" fillId="6" borderId="49" xfId="0" applyFont="1" applyFill="1" applyBorder="1" applyAlignment="1" applyProtection="1">
      <alignment horizontal="left" indent="1"/>
    </xf>
    <xf numFmtId="0" fontId="9" fillId="6" borderId="50" xfId="0" applyFont="1" applyFill="1" applyBorder="1" applyAlignment="1" applyProtection="1">
      <alignment horizontal="left" indent="1"/>
    </xf>
    <xf numFmtId="0" fontId="9" fillId="6" borderId="48" xfId="0" applyFont="1" applyFill="1" applyBorder="1" applyAlignment="1" applyProtection="1">
      <alignment horizontal="left" indent="1"/>
    </xf>
    <xf numFmtId="0" fontId="7" fillId="0" borderId="51" xfId="0" applyFont="1" applyBorder="1" applyProtection="1"/>
    <xf numFmtId="168" fontId="10" fillId="3" borderId="52" xfId="0" applyNumberFormat="1" applyFont="1" applyFill="1" applyBorder="1" applyProtection="1">
      <protection locked="0"/>
    </xf>
    <xf numFmtId="0" fontId="7" fillId="0" borderId="52" xfId="0" applyFont="1" applyBorder="1" applyProtection="1"/>
    <xf numFmtId="169" fontId="10" fillId="3" borderId="52" xfId="1" applyFont="1" applyFill="1" applyBorder="1" applyProtection="1">
      <protection locked="0"/>
    </xf>
    <xf numFmtId="171" fontId="7" fillId="0" borderId="52" xfId="0" applyNumberFormat="1" applyFont="1" applyBorder="1" applyProtection="1"/>
    <xf numFmtId="0" fontId="9" fillId="6" borderId="49" xfId="0" applyFont="1" applyFill="1" applyBorder="1" applyAlignment="1" applyProtection="1">
      <alignment horizontal="center"/>
    </xf>
    <xf numFmtId="0" fontId="6" fillId="6" borderId="49" xfId="0" applyFont="1" applyFill="1" applyBorder="1" applyAlignment="1" applyProtection="1">
      <alignment horizontal="left"/>
    </xf>
    <xf numFmtId="0" fontId="9" fillId="6" borderId="50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1" fontId="32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172" fontId="10" fillId="3" borderId="4" xfId="1" applyNumberFormat="1" applyFont="1" applyFill="1" applyBorder="1" applyProtection="1">
      <protection locked="0"/>
    </xf>
    <xf numFmtId="169" fontId="7" fillId="2" borderId="0" xfId="1" applyFont="1" applyFill="1" applyBorder="1" applyAlignment="1" applyProtection="1">
      <alignment horizontal="left" indent="1"/>
      <protection locked="0"/>
    </xf>
    <xf numFmtId="169" fontId="3" fillId="5" borderId="14" xfId="1" applyFont="1" applyFill="1" applyBorder="1" applyProtection="1"/>
    <xf numFmtId="169" fontId="3" fillId="16" borderId="1" xfId="1" applyFont="1" applyFill="1" applyBorder="1" applyProtection="1">
      <protection locked="0"/>
    </xf>
    <xf numFmtId="169" fontId="7" fillId="16" borderId="0" xfId="1" applyFont="1" applyFill="1" applyBorder="1" applyAlignment="1" applyProtection="1">
      <alignment horizontal="left" indent="1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0" fontId="3" fillId="17" borderId="2" xfId="0" applyFont="1" applyFill="1" applyBorder="1" applyAlignment="1" applyProtection="1">
      <alignment horizontal="center"/>
    </xf>
    <xf numFmtId="169" fontId="3" fillId="18" borderId="14" xfId="1" applyFont="1" applyFill="1" applyBorder="1" applyProtection="1"/>
    <xf numFmtId="0" fontId="7" fillId="18" borderId="11" xfId="0" applyFont="1" applyFill="1" applyBorder="1" applyProtection="1"/>
    <xf numFmtId="0" fontId="7" fillId="18" borderId="0" xfId="0" applyFont="1" applyFill="1" applyProtection="1"/>
    <xf numFmtId="0" fontId="7" fillId="18" borderId="9" xfId="0" applyFont="1" applyFill="1" applyBorder="1" applyProtection="1"/>
    <xf numFmtId="169" fontId="7" fillId="18" borderId="11" xfId="0" applyNumberFormat="1" applyFont="1" applyFill="1" applyBorder="1" applyProtection="1"/>
    <xf numFmtId="169" fontId="7" fillId="18" borderId="53" xfId="0" applyNumberFormat="1" applyFont="1" applyFill="1" applyBorder="1" applyProtection="1"/>
    <xf numFmtId="169" fontId="7" fillId="18" borderId="0" xfId="1" applyFont="1" applyFill="1" applyBorder="1" applyProtection="1"/>
    <xf numFmtId="169" fontId="3" fillId="18" borderId="25" xfId="1" applyFont="1" applyFill="1" applyBorder="1" applyProtection="1"/>
    <xf numFmtId="8" fontId="7" fillId="18" borderId="11" xfId="0" applyNumberFormat="1" applyFont="1" applyFill="1" applyBorder="1" applyProtection="1"/>
    <xf numFmtId="8" fontId="7" fillId="18" borderId="0" xfId="0" applyNumberFormat="1" applyFont="1" applyFill="1" applyBorder="1" applyProtection="1"/>
    <xf numFmtId="0" fontId="29" fillId="0" borderId="0" xfId="0" applyFont="1" applyProtection="1"/>
    <xf numFmtId="165" fontId="3" fillId="4" borderId="11" xfId="0" applyNumberFormat="1" applyFont="1" applyFill="1" applyBorder="1" applyProtection="1"/>
    <xf numFmtId="165" fontId="29" fillId="0" borderId="0" xfId="0" applyNumberFormat="1" applyFont="1" applyProtection="1"/>
    <xf numFmtId="1" fontId="23" fillId="11" borderId="0" xfId="0" applyNumberFormat="1" applyFont="1" applyFill="1" applyBorder="1" applyAlignment="1" applyProtection="1">
      <alignment horizontal="center"/>
      <protection locked="0"/>
    </xf>
    <xf numFmtId="172" fontId="7" fillId="3" borderId="3" xfId="3" applyNumberFormat="1" applyFont="1" applyFill="1" applyBorder="1" applyAlignment="1" applyProtection="1">
      <alignment horizontal="right"/>
    </xf>
    <xf numFmtId="2" fontId="7" fillId="0" borderId="5" xfId="0" applyNumberFormat="1" applyFont="1" applyBorder="1" applyProtection="1"/>
    <xf numFmtId="0" fontId="26" fillId="21" borderId="60" xfId="0" applyFont="1" applyFill="1" applyBorder="1" applyAlignment="1" applyProtection="1">
      <alignment horizontal="right"/>
    </xf>
    <xf numFmtId="1" fontId="7" fillId="21" borderId="62" xfId="0" applyNumberFormat="1" applyFont="1" applyFill="1" applyBorder="1" applyProtection="1"/>
    <xf numFmtId="1" fontId="7" fillId="21" borderId="1" xfId="0" applyNumberFormat="1" applyFont="1" applyFill="1" applyBorder="1" applyProtection="1"/>
    <xf numFmtId="1" fontId="7" fillId="21" borderId="46" xfId="0" applyNumberFormat="1" applyFont="1" applyFill="1" applyBorder="1" applyProtection="1"/>
    <xf numFmtId="1" fontId="7" fillId="21" borderId="64" xfId="0" applyNumberFormat="1" applyFont="1" applyFill="1" applyBorder="1" applyProtection="1"/>
    <xf numFmtId="165" fontId="3" fillId="2" borderId="1" xfId="0" applyNumberFormat="1" applyFont="1" applyFill="1" applyBorder="1" applyProtection="1">
      <protection locked="0"/>
    </xf>
    <xf numFmtId="0" fontId="7" fillId="19" borderId="1" xfId="0" applyFont="1" applyFill="1" applyBorder="1" applyAlignment="1" applyProtection="1">
      <alignment horizontal="left"/>
    </xf>
    <xf numFmtId="0" fontId="7" fillId="19" borderId="5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26" fillId="21" borderId="24" xfId="0" applyFont="1" applyFill="1" applyBorder="1" applyAlignment="1" applyProtection="1">
      <alignment horizontal="right"/>
    </xf>
    <xf numFmtId="0" fontId="26" fillId="21" borderId="59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</xf>
    <xf numFmtId="0" fontId="33" fillId="21" borderId="61" xfId="0" applyFont="1" applyFill="1" applyBorder="1" applyAlignment="1" applyProtection="1">
      <alignment horizontal="right"/>
    </xf>
    <xf numFmtId="0" fontId="33" fillId="21" borderId="1" xfId="0" applyFont="1" applyFill="1" applyBorder="1" applyAlignment="1" applyProtection="1">
      <alignment horizontal="right"/>
    </xf>
    <xf numFmtId="0" fontId="33" fillId="21" borderId="63" xfId="0" applyFont="1" applyFill="1" applyBorder="1" applyAlignment="1" applyProtection="1">
      <alignment horizontal="right"/>
    </xf>
    <xf numFmtId="0" fontId="33" fillId="21" borderId="46" xfId="0" applyFont="1" applyFill="1" applyBorder="1" applyAlignment="1" applyProtection="1">
      <alignment horizontal="right"/>
    </xf>
    <xf numFmtId="0" fontId="2" fillId="20" borderId="0" xfId="0" applyFont="1" applyFill="1" applyBorder="1" applyAlignment="1" applyProtection="1">
      <alignment horizontal="center" wrapText="1"/>
    </xf>
    <xf numFmtId="0" fontId="2" fillId="20" borderId="0" xfId="0" applyFont="1" applyFill="1" applyBorder="1" applyAlignment="1" applyProtection="1">
      <alignment horizontal="center"/>
    </xf>
    <xf numFmtId="0" fontId="2" fillId="20" borderId="11" xfId="0" applyFont="1" applyFill="1" applyBorder="1" applyAlignment="1" applyProtection="1">
      <alignment horizontal="center"/>
    </xf>
    <xf numFmtId="0" fontId="24" fillId="12" borderId="0" xfId="0" applyFont="1" applyFill="1" applyBorder="1" applyAlignment="1" applyProtection="1">
      <alignment horizontal="center"/>
    </xf>
    <xf numFmtId="0" fontId="24" fillId="12" borderId="54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3" fillId="11" borderId="0" xfId="0" applyFont="1" applyFill="1" applyBorder="1" applyAlignment="1" applyProtection="1">
      <alignment horizontal="left" wrapText="1"/>
    </xf>
    <xf numFmtId="0" fontId="23" fillId="11" borderId="0" xfId="0" applyFont="1" applyFill="1" applyBorder="1" applyAlignment="1" applyProtection="1">
      <alignment horizontal="left"/>
    </xf>
    <xf numFmtId="0" fontId="25" fillId="0" borderId="0" xfId="2" applyFont="1" applyBorder="1" applyAlignment="1" applyProtection="1">
      <alignment horizontal="center"/>
    </xf>
    <xf numFmtId="0" fontId="7" fillId="0" borderId="44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7" fillId="0" borderId="56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9" fillId="6" borderId="48" xfId="0" applyFont="1" applyFill="1" applyBorder="1" applyAlignment="1" applyProtection="1">
      <alignment horizontal="left" indent="1"/>
    </xf>
    <xf numFmtId="0" fontId="9" fillId="6" borderId="49" xfId="0" applyFont="1" applyFill="1" applyBorder="1" applyAlignment="1" applyProtection="1">
      <alignment horizontal="left" indent="1"/>
    </xf>
    <xf numFmtId="0" fontId="9" fillId="6" borderId="50" xfId="0" applyFont="1" applyFill="1" applyBorder="1" applyAlignment="1" applyProtection="1">
      <alignment horizontal="left" indent="1"/>
    </xf>
    <xf numFmtId="0" fontId="7" fillId="3" borderId="57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58" xfId="0" applyFont="1" applyBorder="1" applyAlignment="1" applyProtection="1">
      <alignment horizontal="center"/>
    </xf>
    <xf numFmtId="0" fontId="10" fillId="0" borderId="55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/>
    </xf>
  </cellXfs>
  <cellStyles count="4">
    <cellStyle name="Euro" xfId="1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575353552649796"/>
          <c:y val="3.2258149199190393E-2"/>
          <c:w val="0.8068498547529529"/>
          <c:h val="0.456990446988530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'Komb_MVH-DB und PROKORE'!$A$74:$A$79</c:f>
              <c:strCache>
                <c:ptCount val="6"/>
                <c:pt idx="0">
                  <c:v>Bestandesergänzung</c:v>
                </c:pt>
                <c:pt idx="1">
                  <c:v>Grundfutter</c:v>
                </c:pt>
                <c:pt idx="2">
                  <c:v>KF, Min.Stoffe</c:v>
                </c:pt>
                <c:pt idx="3">
                  <c:v>Kälberaufzucht</c:v>
                </c:pt>
                <c:pt idx="4">
                  <c:v>Maschinen- und Energiekosten</c:v>
                </c:pt>
                <c:pt idx="5">
                  <c:v>Sonstiges</c:v>
                </c:pt>
              </c:strCache>
            </c:strRef>
          </c:cat>
          <c:val>
            <c:numRef>
              <c:f>'Komb_MVH-DB und PROKORE'!$D$74:$D$79</c:f>
              <c:numCache>
                <c:formatCode>_-* #,##0.00\ [$€]_-;\-* #,##0.00\ [$€]_-;_-* "-"??\ [$€]_-;_-@_-</c:formatCode>
                <c:ptCount val="6"/>
                <c:pt idx="0">
                  <c:v>992</c:v>
                </c:pt>
                <c:pt idx="1">
                  <c:v>5696</c:v>
                </c:pt>
                <c:pt idx="2">
                  <c:v>3804</c:v>
                </c:pt>
                <c:pt idx="3">
                  <c:v>86.4</c:v>
                </c:pt>
                <c:pt idx="4">
                  <c:v>920</c:v>
                </c:pt>
                <c:pt idx="5">
                  <c:v>2235.1999999999998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D-4DF0-9F7C-ADFB8CE6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73004152"/>
        <c:axId val="173004544"/>
        <c:axId val="0"/>
      </c:bar3DChart>
      <c:catAx>
        <c:axId val="17300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36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0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04544"/>
        <c:scaling>
          <c:orientation val="minMax"/>
        </c:scaling>
        <c:delete val="0"/>
        <c:axPos val="l"/>
        <c:numFmt formatCode="_-* #,##0.00\ [$€]_-;\-* #,##0.00\ [$€]_-;_-* &quot;-&quot;??\ [$€]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004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tail_K&#228;lberaufzucht"/><Relationship Id="rId2" Type="http://schemas.openxmlformats.org/officeDocument/2006/relationships/hyperlink" Target="#Lohnanspruch_gesamt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estandeserg&#228;nzu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81</xdr:row>
      <xdr:rowOff>76200</xdr:rowOff>
    </xdr:from>
    <xdr:to>
      <xdr:col>6</xdr:col>
      <xdr:colOff>1540329</xdr:colOff>
      <xdr:row>103</xdr:row>
      <xdr:rowOff>65314</xdr:rowOff>
    </xdr:to>
    <xdr:graphicFrame macro="">
      <xdr:nvGraphicFramePr>
        <xdr:cNvPr id="1842" name="Chart 7">
          <a:extLst>
            <a:ext uri="{FF2B5EF4-FFF2-40B4-BE49-F238E27FC236}">
              <a16:creationId xmlns:a16="http://schemas.microsoft.com/office/drawing/2014/main" xmlns="" id="{50CEEB8D-57C0-485B-A51C-0053FA32A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332014</xdr:colOff>
      <xdr:row>68</xdr:row>
      <xdr:rowOff>43543</xdr:rowOff>
    </xdr:from>
    <xdr:to>
      <xdr:col>5</xdr:col>
      <xdr:colOff>707571</xdr:colOff>
      <xdr:row>72</xdr:row>
      <xdr:rowOff>130629</xdr:rowOff>
    </xdr:to>
    <xdr:sp macro="" textlink="">
      <xdr:nvSpPr>
        <xdr:cNvPr id="1843" name="AutoShap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FCEBF3F-32B9-4D64-9B7E-AA55B6403819}"/>
            </a:ext>
          </a:extLst>
        </xdr:cNvPr>
        <xdr:cNvSpPr>
          <a:spLocks noChangeArrowheads="1"/>
        </xdr:cNvSpPr>
      </xdr:nvSpPr>
      <xdr:spPr bwMode="auto">
        <a:xfrm rot="5310485">
          <a:off x="5872843" y="12442371"/>
          <a:ext cx="723900" cy="375557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10886</xdr:colOff>
      <xdr:row>56</xdr:row>
      <xdr:rowOff>0</xdr:rowOff>
    </xdr:from>
    <xdr:to>
      <xdr:col>5</xdr:col>
      <xdr:colOff>566057</xdr:colOff>
      <xdr:row>56</xdr:row>
      <xdr:rowOff>146957</xdr:rowOff>
    </xdr:to>
    <xdr:sp macro="" textlink="">
      <xdr:nvSpPr>
        <xdr:cNvPr id="1844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9BC09EB-C958-4388-8C1F-7F7A7D470F59}"/>
            </a:ext>
          </a:extLst>
        </xdr:cNvPr>
        <xdr:cNvSpPr>
          <a:spLocks noChangeArrowheads="1"/>
        </xdr:cNvSpPr>
      </xdr:nvSpPr>
      <xdr:spPr bwMode="auto">
        <a:xfrm>
          <a:off x="5725886" y="10254343"/>
          <a:ext cx="555171" cy="146957"/>
        </a:xfrm>
        <a:prstGeom prst="rightArrowCallout">
          <a:avLst>
            <a:gd name="adj1" fmla="val 25000"/>
            <a:gd name="adj2" fmla="val 25000"/>
            <a:gd name="adj3" fmla="val 121711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555171</xdr:colOff>
      <xdr:row>58</xdr:row>
      <xdr:rowOff>146957</xdr:rowOff>
    </xdr:to>
    <xdr:sp macro="" textlink="">
      <xdr:nvSpPr>
        <xdr:cNvPr id="1845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3B768F9-A5AE-4D51-9994-F0CB8E2B9E90}"/>
            </a:ext>
          </a:extLst>
        </xdr:cNvPr>
        <xdr:cNvSpPr>
          <a:spLocks noChangeArrowheads="1"/>
        </xdr:cNvSpPr>
      </xdr:nvSpPr>
      <xdr:spPr bwMode="auto">
        <a:xfrm>
          <a:off x="5715000" y="10597243"/>
          <a:ext cx="555171" cy="146957"/>
        </a:xfrm>
        <a:prstGeom prst="rightArrowCallout">
          <a:avLst>
            <a:gd name="adj1" fmla="val 25000"/>
            <a:gd name="adj2" fmla="val 25000"/>
            <a:gd name="adj3" fmla="val 121711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555171</xdr:colOff>
      <xdr:row>59</xdr:row>
      <xdr:rowOff>146957</xdr:rowOff>
    </xdr:to>
    <xdr:sp macro="" textlink="">
      <xdr:nvSpPr>
        <xdr:cNvPr id="1846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06771BC-2B44-4121-AAA6-1A414DC44A3F}"/>
            </a:ext>
          </a:extLst>
        </xdr:cNvPr>
        <xdr:cNvSpPr>
          <a:spLocks noChangeArrowheads="1"/>
        </xdr:cNvSpPr>
      </xdr:nvSpPr>
      <xdr:spPr bwMode="auto">
        <a:xfrm>
          <a:off x="5715000" y="10755086"/>
          <a:ext cx="555171" cy="146957"/>
        </a:xfrm>
        <a:prstGeom prst="rightArrowCallout">
          <a:avLst>
            <a:gd name="adj1" fmla="val 25000"/>
            <a:gd name="adj2" fmla="val 25000"/>
            <a:gd name="adj3" fmla="val 121711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555171</xdr:colOff>
      <xdr:row>60</xdr:row>
      <xdr:rowOff>146957</xdr:rowOff>
    </xdr:to>
    <xdr:sp macro="" textlink="">
      <xdr:nvSpPr>
        <xdr:cNvPr id="1847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BE1B70A-3AF9-462D-BB9A-4FAC39DF5E92}"/>
            </a:ext>
          </a:extLst>
        </xdr:cNvPr>
        <xdr:cNvSpPr>
          <a:spLocks noChangeArrowheads="1"/>
        </xdr:cNvSpPr>
      </xdr:nvSpPr>
      <xdr:spPr bwMode="auto">
        <a:xfrm>
          <a:off x="5715000" y="10912929"/>
          <a:ext cx="555171" cy="146957"/>
        </a:xfrm>
        <a:prstGeom prst="rightArrowCallout">
          <a:avLst>
            <a:gd name="adj1" fmla="val 25000"/>
            <a:gd name="adj2" fmla="val 25000"/>
            <a:gd name="adj3" fmla="val 121711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555171</xdr:colOff>
      <xdr:row>61</xdr:row>
      <xdr:rowOff>146957</xdr:rowOff>
    </xdr:to>
    <xdr:sp macro="" textlink="">
      <xdr:nvSpPr>
        <xdr:cNvPr id="1848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1D2FAEC-9127-41FF-9247-03BB82972EFE}"/>
            </a:ext>
          </a:extLst>
        </xdr:cNvPr>
        <xdr:cNvSpPr>
          <a:spLocks noChangeArrowheads="1"/>
        </xdr:cNvSpPr>
      </xdr:nvSpPr>
      <xdr:spPr bwMode="auto">
        <a:xfrm>
          <a:off x="5715000" y="11070771"/>
          <a:ext cx="555171" cy="146958"/>
        </a:xfrm>
        <a:prstGeom prst="rightArrowCallout">
          <a:avLst>
            <a:gd name="adj1" fmla="val 25000"/>
            <a:gd name="adj2" fmla="val 25000"/>
            <a:gd name="adj3" fmla="val 121710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555171</xdr:colOff>
      <xdr:row>62</xdr:row>
      <xdr:rowOff>146957</xdr:rowOff>
    </xdr:to>
    <xdr:sp macro="" textlink="">
      <xdr:nvSpPr>
        <xdr:cNvPr id="1849" name="AutoShap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EDFB923-6749-4B69-8B70-8A04A6CD7DAD}"/>
            </a:ext>
          </a:extLst>
        </xdr:cNvPr>
        <xdr:cNvSpPr>
          <a:spLocks noChangeArrowheads="1"/>
        </xdr:cNvSpPr>
      </xdr:nvSpPr>
      <xdr:spPr bwMode="auto">
        <a:xfrm>
          <a:off x="5715000" y="11228614"/>
          <a:ext cx="555171" cy="146957"/>
        </a:xfrm>
        <a:prstGeom prst="rightArrowCallout">
          <a:avLst>
            <a:gd name="adj1" fmla="val 25000"/>
            <a:gd name="adj2" fmla="val 25000"/>
            <a:gd name="adj3" fmla="val 121711"/>
            <a:gd name="adj4" fmla="val 6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364671</xdr:colOff>
      <xdr:row>3</xdr:row>
      <xdr:rowOff>293914</xdr:rowOff>
    </xdr:from>
    <xdr:to>
      <xdr:col>7</xdr:col>
      <xdr:colOff>353786</xdr:colOff>
      <xdr:row>7</xdr:row>
      <xdr:rowOff>70757</xdr:rowOff>
    </xdr:to>
    <xdr:sp macro="" textlink="">
      <xdr:nvSpPr>
        <xdr:cNvPr id="2611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6D1E61F-BBC6-431D-ABC1-C40C9E8BAFB8}"/>
            </a:ext>
          </a:extLst>
        </xdr:cNvPr>
        <xdr:cNvSpPr>
          <a:spLocks noChangeArrowheads="1"/>
        </xdr:cNvSpPr>
      </xdr:nvSpPr>
      <xdr:spPr bwMode="auto">
        <a:xfrm rot="10800000" flipV="1">
          <a:off x="6362700" y="870857"/>
          <a:ext cx="838200" cy="566057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386443</xdr:colOff>
      <xdr:row>13</xdr:row>
      <xdr:rowOff>146957</xdr:rowOff>
    </xdr:from>
    <xdr:to>
      <xdr:col>7</xdr:col>
      <xdr:colOff>381000</xdr:colOff>
      <xdr:row>17</xdr:row>
      <xdr:rowOff>0</xdr:rowOff>
    </xdr:to>
    <xdr:sp macro="" textlink="">
      <xdr:nvSpPr>
        <xdr:cNvPr id="2612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6772846-B41F-4C68-9FA8-4BD4B11EE6E7}"/>
            </a:ext>
          </a:extLst>
        </xdr:cNvPr>
        <xdr:cNvSpPr>
          <a:spLocks noChangeArrowheads="1"/>
        </xdr:cNvSpPr>
      </xdr:nvSpPr>
      <xdr:spPr bwMode="auto">
        <a:xfrm rot="10800000">
          <a:off x="6384471" y="2503714"/>
          <a:ext cx="843643" cy="566057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424543</xdr:colOff>
      <xdr:row>42</xdr:row>
      <xdr:rowOff>119743</xdr:rowOff>
    </xdr:from>
    <xdr:to>
      <xdr:col>7</xdr:col>
      <xdr:colOff>413657</xdr:colOff>
      <xdr:row>46</xdr:row>
      <xdr:rowOff>43543</xdr:rowOff>
    </xdr:to>
    <xdr:sp macro="" textlink="">
      <xdr:nvSpPr>
        <xdr:cNvPr id="2613" name="Auto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1867C-3108-4CE3-A3EA-37E5172EC611}"/>
            </a:ext>
          </a:extLst>
        </xdr:cNvPr>
        <xdr:cNvSpPr>
          <a:spLocks noChangeArrowheads="1"/>
        </xdr:cNvSpPr>
      </xdr:nvSpPr>
      <xdr:spPr bwMode="auto">
        <a:xfrm rot="10800000">
          <a:off x="6422571" y="7462157"/>
          <a:ext cx="838200" cy="560614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402771</xdr:colOff>
      <xdr:row>32</xdr:row>
      <xdr:rowOff>70757</xdr:rowOff>
    </xdr:from>
    <xdr:to>
      <xdr:col>7</xdr:col>
      <xdr:colOff>391886</xdr:colOff>
      <xdr:row>36</xdr:row>
      <xdr:rowOff>0</xdr:rowOff>
    </xdr:to>
    <xdr:sp macro="" textlink="">
      <xdr:nvSpPr>
        <xdr:cNvPr id="2614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71EF32-DADD-4DC4-A8DA-AB0E95B20FD7}"/>
            </a:ext>
          </a:extLst>
        </xdr:cNvPr>
        <xdr:cNvSpPr>
          <a:spLocks noChangeArrowheads="1"/>
        </xdr:cNvSpPr>
      </xdr:nvSpPr>
      <xdr:spPr bwMode="auto">
        <a:xfrm rot="10800000">
          <a:off x="6400800" y="5725886"/>
          <a:ext cx="838200" cy="566057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321129</xdr:colOff>
      <xdr:row>23</xdr:row>
      <xdr:rowOff>108857</xdr:rowOff>
    </xdr:from>
    <xdr:to>
      <xdr:col>7</xdr:col>
      <xdr:colOff>310243</xdr:colOff>
      <xdr:row>27</xdr:row>
      <xdr:rowOff>27214</xdr:rowOff>
    </xdr:to>
    <xdr:sp macro="" textlink="">
      <xdr:nvSpPr>
        <xdr:cNvPr id="2615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71AFA2E-DD00-45F2-9546-C27F939EC363}"/>
            </a:ext>
          </a:extLst>
        </xdr:cNvPr>
        <xdr:cNvSpPr>
          <a:spLocks noChangeArrowheads="1"/>
        </xdr:cNvSpPr>
      </xdr:nvSpPr>
      <xdr:spPr bwMode="auto">
        <a:xfrm rot="10800000">
          <a:off x="6319157" y="4234543"/>
          <a:ext cx="838200" cy="555171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rw.twoday.net/" TargetMode="External"/><Relationship Id="rId1" Type="http://schemas.openxmlformats.org/officeDocument/2006/relationships/hyperlink" Target="mailto:h.erber@tsn.at?subject=Frage%20zu%20DB%20PROKORE%20Komb.%20MV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showGridLines="0" showRowColHeaders="0" showZeros="0" tabSelected="1" defaultGridColor="0" colorId="17" zoomScale="91" zoomScaleNormal="91" workbookViewId="0">
      <selection activeCell="C48" sqref="C48"/>
    </sheetView>
  </sheetViews>
  <sheetFormatPr baseColWidth="10" defaultColWidth="11.42578125" defaultRowHeight="12.75" x14ac:dyDescent="0.2"/>
  <cols>
    <col min="1" max="1" width="15.42578125" style="27" customWidth="1"/>
    <col min="2" max="2" width="11.85546875" style="27" customWidth="1"/>
    <col min="3" max="3" width="20.42578125" style="27" customWidth="1"/>
    <col min="4" max="4" width="15.85546875" style="27" customWidth="1"/>
    <col min="5" max="5" width="17.28515625" style="27" customWidth="1"/>
    <col min="6" max="6" width="17.140625" style="27" customWidth="1"/>
    <col min="7" max="7" width="23.28515625" style="27" customWidth="1"/>
    <col min="8" max="8" width="17.140625" style="27" customWidth="1"/>
    <col min="9" max="9" width="13.85546875" style="27" customWidth="1"/>
    <col min="10" max="10" width="13.28515625" style="27" bestFit="1" customWidth="1"/>
    <col min="11" max="16384" width="11.42578125" style="27"/>
  </cols>
  <sheetData>
    <row r="1" spans="1:9" ht="48" customHeight="1" x14ac:dyDescent="0.3">
      <c r="A1" s="269" t="s">
        <v>137</v>
      </c>
      <c r="B1" s="270"/>
      <c r="C1" s="270"/>
      <c r="D1" s="270"/>
      <c r="E1" s="270"/>
      <c r="F1" s="270"/>
      <c r="G1" s="271"/>
      <c r="H1" s="26" t="s">
        <v>95</v>
      </c>
    </row>
    <row r="2" spans="1:9" x14ac:dyDescent="0.2">
      <c r="A2" s="272" t="s">
        <v>161</v>
      </c>
      <c r="B2" s="272"/>
      <c r="C2" s="272"/>
      <c r="D2" s="272"/>
      <c r="E2" s="272"/>
      <c r="F2" s="272"/>
      <c r="G2" s="272"/>
      <c r="H2" s="273"/>
    </row>
    <row r="3" spans="1:9" ht="18" x14ac:dyDescent="0.25">
      <c r="A3" s="275" t="s">
        <v>100</v>
      </c>
      <c r="B3" s="276"/>
      <c r="C3" s="276"/>
      <c r="D3" s="276"/>
      <c r="E3" s="276"/>
      <c r="F3" s="276"/>
      <c r="G3" s="276"/>
      <c r="H3" s="276"/>
    </row>
    <row r="4" spans="1:9" ht="45" customHeight="1" x14ac:dyDescent="0.2">
      <c r="A4" s="277" t="s">
        <v>172</v>
      </c>
      <c r="B4" s="278"/>
      <c r="C4" s="278"/>
      <c r="D4" s="278"/>
      <c r="E4" s="278"/>
      <c r="F4" s="278"/>
      <c r="G4" s="278"/>
      <c r="H4" s="15" t="s">
        <v>105</v>
      </c>
    </row>
    <row r="5" spans="1:9" ht="18" x14ac:dyDescent="0.25">
      <c r="A5" s="29"/>
      <c r="B5" s="29"/>
      <c r="C5" s="29"/>
      <c r="D5" s="29"/>
      <c r="E5" s="28"/>
      <c r="F5" s="28"/>
      <c r="G5" s="30" t="s">
        <v>196</v>
      </c>
      <c r="H5" s="279" t="s">
        <v>110</v>
      </c>
      <c r="I5" s="279"/>
    </row>
    <row r="6" spans="1:9" ht="18" x14ac:dyDescent="0.25">
      <c r="A6" s="274" t="s">
        <v>102</v>
      </c>
      <c r="B6" s="274"/>
      <c r="C6" s="274"/>
      <c r="G6" s="197"/>
      <c r="H6" s="28"/>
    </row>
    <row r="7" spans="1:9" ht="18" x14ac:dyDescent="0.25">
      <c r="B7" s="19" t="s">
        <v>0</v>
      </c>
      <c r="C7" s="20"/>
      <c r="D7" s="20"/>
      <c r="E7" s="20"/>
      <c r="F7" s="20"/>
      <c r="G7" s="21"/>
      <c r="H7" s="28"/>
    </row>
    <row r="8" spans="1:9" ht="18" x14ac:dyDescent="0.25">
      <c r="B8" s="22" t="s">
        <v>129</v>
      </c>
      <c r="C8" s="23"/>
      <c r="D8" s="20"/>
      <c r="E8" s="20"/>
      <c r="F8" s="20"/>
      <c r="G8" s="21"/>
      <c r="H8" s="28"/>
    </row>
    <row r="9" spans="1:9" ht="18" x14ac:dyDescent="0.25">
      <c r="B9" s="24"/>
      <c r="C9" s="20"/>
      <c r="D9" s="20" t="s">
        <v>130</v>
      </c>
      <c r="E9" s="20"/>
      <c r="F9" s="20"/>
      <c r="G9" s="21"/>
      <c r="H9" s="28"/>
    </row>
    <row r="10" spans="1:9" ht="18" x14ac:dyDescent="0.25">
      <c r="B10" s="24"/>
      <c r="C10" s="20"/>
      <c r="D10" s="20" t="s">
        <v>131</v>
      </c>
      <c r="E10" s="20"/>
      <c r="F10" s="20"/>
      <c r="G10" s="21"/>
      <c r="H10" s="28"/>
    </row>
    <row r="11" spans="1:9" ht="18" x14ac:dyDescent="0.25">
      <c r="B11" s="24"/>
      <c r="C11" s="20"/>
      <c r="D11" s="20" t="s">
        <v>155</v>
      </c>
      <c r="E11" s="20"/>
      <c r="F11" s="20"/>
      <c r="G11" s="21"/>
      <c r="H11" s="28"/>
    </row>
    <row r="12" spans="1:9" ht="18" x14ac:dyDescent="0.25">
      <c r="B12" s="22" t="s">
        <v>146</v>
      </c>
      <c r="C12" s="20"/>
      <c r="D12" s="25">
        <v>40000</v>
      </c>
      <c r="E12" s="20"/>
      <c r="F12" s="20"/>
      <c r="G12" s="21"/>
      <c r="H12" s="28"/>
    </row>
    <row r="13" spans="1:9" ht="18" x14ac:dyDescent="0.25">
      <c r="B13" s="22"/>
      <c r="C13" s="20"/>
      <c r="D13" s="20"/>
      <c r="E13" s="20"/>
      <c r="F13" s="20"/>
      <c r="G13" s="21"/>
      <c r="H13" s="28"/>
    </row>
    <row r="14" spans="1:9" ht="18" x14ac:dyDescent="0.25">
      <c r="B14" s="22" t="s">
        <v>1</v>
      </c>
      <c r="C14" s="20"/>
      <c r="D14" s="20" t="s">
        <v>138</v>
      </c>
      <c r="E14" s="20"/>
      <c r="F14" s="20"/>
      <c r="G14" s="21"/>
      <c r="H14" s="28"/>
    </row>
    <row r="15" spans="1:9" ht="18" x14ac:dyDescent="0.25">
      <c r="B15" s="24"/>
      <c r="C15" s="20"/>
      <c r="D15" s="20" t="s">
        <v>139</v>
      </c>
      <c r="E15" s="20"/>
      <c r="F15" s="20"/>
      <c r="G15" s="21"/>
      <c r="H15" s="28"/>
    </row>
    <row r="16" spans="1:9" ht="18" x14ac:dyDescent="0.25">
      <c r="B16" s="22" t="s">
        <v>3</v>
      </c>
      <c r="C16" s="20"/>
      <c r="D16" s="20" t="s">
        <v>111</v>
      </c>
      <c r="E16" s="20"/>
      <c r="F16" s="20"/>
      <c r="G16" s="21"/>
      <c r="H16" s="28"/>
    </row>
    <row r="17" spans="1:10" ht="18" x14ac:dyDescent="0.25">
      <c r="B17" s="22" t="s">
        <v>106</v>
      </c>
      <c r="C17" s="20"/>
      <c r="D17" s="25">
        <v>187</v>
      </c>
      <c r="E17" s="20"/>
      <c r="F17" s="20"/>
      <c r="G17" s="21"/>
      <c r="H17" s="28"/>
      <c r="I17" s="31"/>
      <c r="J17" s="31"/>
    </row>
    <row r="18" spans="1:10" ht="18" x14ac:dyDescent="0.25">
      <c r="B18" s="22" t="s">
        <v>4</v>
      </c>
      <c r="C18" s="20"/>
      <c r="D18" s="20" t="s">
        <v>198</v>
      </c>
      <c r="E18" s="20"/>
      <c r="F18" s="20"/>
      <c r="G18" s="21"/>
      <c r="H18" s="28"/>
      <c r="I18" s="31"/>
      <c r="J18" s="31"/>
    </row>
    <row r="19" spans="1:10" ht="18" x14ac:dyDescent="0.25">
      <c r="B19" s="22"/>
      <c r="C19" s="20"/>
      <c r="D19" s="20"/>
      <c r="E19" s="20"/>
      <c r="F19" s="20"/>
      <c r="G19" s="21"/>
      <c r="H19" s="28"/>
      <c r="I19" s="31"/>
      <c r="J19" s="31"/>
    </row>
    <row r="20" spans="1:10" ht="18" x14ac:dyDescent="0.25">
      <c r="A20" s="32"/>
      <c r="B20" s="32"/>
      <c r="C20" s="33"/>
      <c r="D20" s="33"/>
      <c r="E20" s="33"/>
      <c r="F20" s="33"/>
      <c r="G20" s="34"/>
      <c r="H20" s="34"/>
    </row>
    <row r="21" spans="1:10" x14ac:dyDescent="0.2">
      <c r="A21" s="274" t="s">
        <v>5</v>
      </c>
      <c r="B21" s="274"/>
      <c r="C21" s="274"/>
    </row>
    <row r="22" spans="1:10" x14ac:dyDescent="0.2">
      <c r="A22" s="35"/>
      <c r="B22" s="36" t="s">
        <v>113</v>
      </c>
      <c r="C22" s="37"/>
      <c r="D22" s="38">
        <f>D24*Anz_Kühe</f>
        <v>42880</v>
      </c>
      <c r="E22" s="39" t="s">
        <v>6</v>
      </c>
    </row>
    <row r="23" spans="1:10" x14ac:dyDescent="0.2">
      <c r="B23" s="40" t="s">
        <v>195</v>
      </c>
      <c r="C23" s="41"/>
      <c r="D23" s="38">
        <f>D24*Anz_Kühe-Detailkalkulationen!C16*Abkalbequote*Anz_Kühe</f>
        <v>40000</v>
      </c>
      <c r="E23" s="42" t="s">
        <v>6</v>
      </c>
    </row>
    <row r="24" spans="1:10" x14ac:dyDescent="0.2">
      <c r="B24" s="40" t="s">
        <v>194</v>
      </c>
      <c r="C24" s="41"/>
      <c r="D24" s="1">
        <v>5360</v>
      </c>
      <c r="E24" s="42" t="s">
        <v>6</v>
      </c>
    </row>
    <row r="25" spans="1:10" x14ac:dyDescent="0.2">
      <c r="B25" s="40" t="s">
        <v>184</v>
      </c>
      <c r="C25" s="41"/>
      <c r="D25" s="257">
        <v>4</v>
      </c>
      <c r="E25" s="42" t="s">
        <v>18</v>
      </c>
    </row>
    <row r="26" spans="1:10" x14ac:dyDescent="0.2">
      <c r="B26" s="40" t="s">
        <v>185</v>
      </c>
      <c r="C26" s="41"/>
      <c r="D26" s="257">
        <v>3.4</v>
      </c>
      <c r="E26" s="42" t="s">
        <v>18</v>
      </c>
    </row>
    <row r="27" spans="1:10" x14ac:dyDescent="0.2">
      <c r="B27" s="40" t="s">
        <v>186</v>
      </c>
      <c r="C27" s="41"/>
      <c r="D27" s="1">
        <v>365</v>
      </c>
      <c r="E27" s="42"/>
    </row>
    <row r="28" spans="1:10" x14ac:dyDescent="0.2">
      <c r="B28" s="40" t="s">
        <v>7</v>
      </c>
      <c r="C28" s="41"/>
      <c r="D28" s="1">
        <v>5</v>
      </c>
      <c r="E28" s="42" t="s">
        <v>8</v>
      </c>
    </row>
    <row r="29" spans="1:10" x14ac:dyDescent="0.2">
      <c r="B29" s="40" t="s">
        <v>9</v>
      </c>
      <c r="C29" s="41"/>
      <c r="D29" s="1">
        <v>0.9</v>
      </c>
      <c r="E29" s="42"/>
    </row>
    <row r="30" spans="1:10" x14ac:dyDescent="0.2">
      <c r="B30" s="40" t="s">
        <v>114</v>
      </c>
      <c r="C30" s="41"/>
      <c r="D30" s="1">
        <v>8</v>
      </c>
      <c r="E30" s="42" t="s">
        <v>2</v>
      </c>
      <c r="F30" s="202" t="s">
        <v>152</v>
      </c>
    </row>
    <row r="31" spans="1:10" x14ac:dyDescent="0.2">
      <c r="B31" s="40"/>
      <c r="C31" s="41"/>
      <c r="D31" s="38">
        <f>Anz_Kühe*Abkalbequote</f>
        <v>7.2</v>
      </c>
      <c r="E31" s="42" t="s">
        <v>10</v>
      </c>
      <c r="F31" s="258" t="s">
        <v>147</v>
      </c>
      <c r="G31" s="258"/>
      <c r="H31" s="258"/>
      <c r="I31" s="203">
        <f>AnzK/2</f>
        <v>3.6</v>
      </c>
      <c r="J31" s="27" t="s">
        <v>178</v>
      </c>
    </row>
    <row r="32" spans="1:10" x14ac:dyDescent="0.2">
      <c r="B32" s="40" t="s">
        <v>123</v>
      </c>
      <c r="C32" s="41"/>
      <c r="D32" s="1">
        <v>27</v>
      </c>
      <c r="E32" s="42" t="s">
        <v>124</v>
      </c>
      <c r="F32" s="258" t="s">
        <v>151</v>
      </c>
      <c r="G32" s="258"/>
      <c r="H32" s="258"/>
      <c r="I32" s="204">
        <f>1/Nutzungsdauer*Anz_Kühe</f>
        <v>1.6</v>
      </c>
      <c r="J32" s="27" t="s">
        <v>179</v>
      </c>
    </row>
    <row r="33" spans="1:10" ht="13.5" thickBot="1" x14ac:dyDescent="0.25">
      <c r="B33" s="40" t="s">
        <v>148</v>
      </c>
      <c r="C33" s="41"/>
      <c r="D33" s="247">
        <f>ROUND(Anz_Kühe/Nutzungsdauer*Erstkalbealter/12,1)</f>
        <v>3.6</v>
      </c>
      <c r="E33" s="43"/>
      <c r="F33" s="259" t="s">
        <v>153</v>
      </c>
      <c r="G33" s="259"/>
      <c r="H33" s="259"/>
      <c r="I33" s="251">
        <f>Anz_Kühe/Nutzungsdauer*Erstkalbealter/12</f>
        <v>3.6</v>
      </c>
      <c r="J33" s="27" t="s">
        <v>180</v>
      </c>
    </row>
    <row r="34" spans="1:10" x14ac:dyDescent="0.2">
      <c r="B34" s="40" t="s">
        <v>11</v>
      </c>
      <c r="C34" s="41"/>
      <c r="D34" s="7">
        <v>0.5</v>
      </c>
      <c r="E34" s="41" t="s">
        <v>96</v>
      </c>
      <c r="F34" s="261" t="s">
        <v>190</v>
      </c>
      <c r="G34" s="262"/>
      <c r="H34" s="262"/>
      <c r="I34" s="252" t="s">
        <v>191</v>
      </c>
    </row>
    <row r="35" spans="1:10" x14ac:dyDescent="0.2">
      <c r="B35" s="40" t="s">
        <v>12</v>
      </c>
      <c r="C35" s="41"/>
      <c r="D35" s="1">
        <v>800</v>
      </c>
      <c r="E35" s="41" t="s">
        <v>6</v>
      </c>
      <c r="F35" s="265" t="s">
        <v>192</v>
      </c>
      <c r="G35" s="266"/>
      <c r="H35" s="254">
        <f>POWER(D35,0.75)*0.293</f>
        <v>44.074268250972516</v>
      </c>
      <c r="I35" s="253">
        <f>POWER(D35,0.75)*3.9</f>
        <v>586.65408252147722</v>
      </c>
    </row>
    <row r="36" spans="1:10" x14ac:dyDescent="0.2">
      <c r="B36" s="40" t="s">
        <v>13</v>
      </c>
      <c r="C36" s="41"/>
      <c r="D36" s="8">
        <v>1</v>
      </c>
      <c r="E36" s="41" t="s">
        <v>96</v>
      </c>
      <c r="F36" s="265" t="s">
        <v>193</v>
      </c>
      <c r="G36" s="266"/>
      <c r="H36" s="254">
        <f>(0.95+0.37*D25+0.21*D26)*D24/360</f>
        <v>46.810666666666656</v>
      </c>
      <c r="I36" s="253">
        <f>(D26%*1.984*10+10)*(D24/360)</f>
        <v>158.93233777777778</v>
      </c>
    </row>
    <row r="37" spans="1:10" x14ac:dyDescent="0.2">
      <c r="B37" s="40" t="s">
        <v>97</v>
      </c>
      <c r="C37" s="41"/>
      <c r="D37" s="1">
        <v>80</v>
      </c>
      <c r="E37" s="41" t="s">
        <v>6</v>
      </c>
      <c r="F37" s="265" t="s">
        <v>187</v>
      </c>
      <c r="G37" s="266"/>
      <c r="H37" s="254">
        <f>SUM(H35:H36)</f>
        <v>90.884934917639171</v>
      </c>
      <c r="I37" s="253">
        <f>SUM(I35:I36)</f>
        <v>745.586420299255</v>
      </c>
    </row>
    <row r="38" spans="1:10" x14ac:dyDescent="0.2">
      <c r="B38" s="40" t="s">
        <v>14</v>
      </c>
      <c r="C38" s="41"/>
      <c r="D38" s="7">
        <v>2.5</v>
      </c>
      <c r="E38" s="41" t="s">
        <v>96</v>
      </c>
      <c r="F38" s="265" t="s">
        <v>189</v>
      </c>
      <c r="G38" s="266"/>
      <c r="H38" s="254">
        <f>H37*D27</f>
        <v>33173.001244938299</v>
      </c>
      <c r="I38" s="253">
        <f>I37*D27</f>
        <v>272139.04340922809</v>
      </c>
    </row>
    <row r="39" spans="1:10" ht="13.5" thickBot="1" x14ac:dyDescent="0.25">
      <c r="B39" s="40" t="s">
        <v>15</v>
      </c>
      <c r="C39" s="41"/>
      <c r="D39" s="7">
        <v>2.2999999999999998</v>
      </c>
      <c r="E39" s="41" t="s">
        <v>96</v>
      </c>
      <c r="F39" s="267" t="s">
        <v>188</v>
      </c>
      <c r="G39" s="268"/>
      <c r="H39" s="255">
        <f>H38*Anz_Kühe</f>
        <v>265384.00995950639</v>
      </c>
      <c r="I39" s="256">
        <f>I38*Anz_Kühe</f>
        <v>2177112.3472738247</v>
      </c>
    </row>
    <row r="40" spans="1:10" x14ac:dyDescent="0.2">
      <c r="B40" s="40" t="s">
        <v>16</v>
      </c>
      <c r="C40" s="41"/>
      <c r="D40" s="7">
        <v>1400</v>
      </c>
      <c r="E40" s="42"/>
    </row>
    <row r="41" spans="1:10" x14ac:dyDescent="0.2">
      <c r="B41" s="40" t="s">
        <v>156</v>
      </c>
      <c r="C41" s="41"/>
      <c r="D41" s="232">
        <v>1700</v>
      </c>
      <c r="E41" s="42"/>
    </row>
    <row r="42" spans="1:10" x14ac:dyDescent="0.2">
      <c r="B42" s="44" t="s">
        <v>17</v>
      </c>
      <c r="C42" s="45"/>
      <c r="D42" s="2">
        <v>0.02</v>
      </c>
      <c r="E42" s="46"/>
    </row>
    <row r="43" spans="1:10" x14ac:dyDescent="0.2">
      <c r="B43" s="41" t="s">
        <v>154</v>
      </c>
      <c r="C43" s="41"/>
      <c r="D43" s="41" t="str">
        <f>CONCATENATE(Anz_Kühe," ",E30," und ",Anz_Jungvieh+I48," Stk Jungvieh unterschiedlichen Alters (",Anz_Jungvieh," für Eigenbedarf und ",I48," Stück Jungvieh für Verkauf)")</f>
        <v>8 Kühe und 3,6 Stk Jungvieh unterschiedlichen Alters (3,6 für Eigenbedarf und 0 Stück Jungvieh für Verkauf)</v>
      </c>
      <c r="E43" s="41"/>
      <c r="F43" s="41"/>
      <c r="G43" s="41"/>
      <c r="H43" s="41"/>
      <c r="I43" s="41"/>
      <c r="J43" s="41"/>
    </row>
    <row r="45" spans="1:10" ht="15" x14ac:dyDescent="0.2">
      <c r="A45" s="47"/>
      <c r="B45" s="48" t="s">
        <v>197</v>
      </c>
      <c r="C45" s="48"/>
      <c r="D45" s="49"/>
      <c r="E45" s="235" t="s">
        <v>174</v>
      </c>
      <c r="F45" s="49"/>
      <c r="G45" s="235" t="s">
        <v>177</v>
      </c>
    </row>
    <row r="46" spans="1:10" x14ac:dyDescent="0.2">
      <c r="A46" s="51" t="s">
        <v>19</v>
      </c>
      <c r="B46" s="31"/>
      <c r="C46" s="31"/>
      <c r="D46" s="31"/>
      <c r="E46" s="52">
        <f>Marktleistung*Milchpreis</f>
        <v>20000</v>
      </c>
      <c r="F46" s="53"/>
      <c r="G46" s="233">
        <v>20000</v>
      </c>
      <c r="H46" s="27" t="s">
        <v>19</v>
      </c>
    </row>
    <row r="47" spans="1:10" x14ac:dyDescent="0.2">
      <c r="A47" s="51" t="s">
        <v>20</v>
      </c>
      <c r="B47" s="31"/>
      <c r="C47" s="31"/>
      <c r="D47" s="31"/>
      <c r="E47" s="52">
        <f>Altkuhgewicht*Altkuhpreis/Nutzungsdauer*Anz_Kühe</f>
        <v>1280</v>
      </c>
      <c r="F47" s="53"/>
      <c r="G47" s="233">
        <f>SUM(E47:E50)</f>
        <v>2368</v>
      </c>
      <c r="H47" s="27" t="s">
        <v>173</v>
      </c>
      <c r="J47" s="57"/>
    </row>
    <row r="48" spans="1:10" x14ac:dyDescent="0.2">
      <c r="A48" s="51" t="s">
        <v>157</v>
      </c>
      <c r="B48" s="31"/>
      <c r="C48" s="200">
        <v>0</v>
      </c>
      <c r="D48" s="31" t="s">
        <v>158</v>
      </c>
      <c r="E48" s="52">
        <f>Kalbinnenerlös*Anz_Verkaufskalbinnen</f>
        <v>0</v>
      </c>
      <c r="F48" s="227" t="str">
        <f>IF(D50&lt;0,"Beachte: Kalbinnenverkauf (ohne Zukauf) zu hoch!!!","")</f>
        <v/>
      </c>
      <c r="G48" s="233">
        <v>0</v>
      </c>
      <c r="H48" s="27" t="s">
        <v>30</v>
      </c>
      <c r="I48" s="248">
        <f>ROUND(Anz_Verkaufskalbinnen*Erstkalbealter/12,1)</f>
        <v>0</v>
      </c>
    </row>
    <row r="49" spans="1:9" x14ac:dyDescent="0.2">
      <c r="A49" s="51" t="s">
        <v>21</v>
      </c>
      <c r="B49" s="31"/>
      <c r="C49" s="55"/>
      <c r="D49" s="199">
        <f>AnzK/2</f>
        <v>3.6</v>
      </c>
      <c r="E49" s="52">
        <f>Verkaufsgewicht_Kälber*Abkalbequote*0.5*Kälberpreis_m*Anz_Kühe</f>
        <v>720</v>
      </c>
      <c r="F49" s="56">
        <f>Verkaufsgewicht_Kälber*(Abkalbequote*0.5-1/Nutzungsdauer)*Kälberpreis_w*Anz_Kühe</f>
        <v>368</v>
      </c>
      <c r="G49" s="237"/>
    </row>
    <row r="50" spans="1:9" x14ac:dyDescent="0.2">
      <c r="A50" s="51" t="s">
        <v>22</v>
      </c>
      <c r="B50" s="31"/>
      <c r="C50" s="55"/>
      <c r="D50" s="199">
        <f>Kälber_w-Bedarf_pro_Jahr-Anz_Verkaufskalbinnen</f>
        <v>2</v>
      </c>
      <c r="E50" s="57">
        <f>IF(D50&lt;=0,0,D50*Verkaufsgewicht_Kälber*Kälberpreis_w)</f>
        <v>368</v>
      </c>
      <c r="F50" s="227">
        <f>IF(D50&lt;=0,"Beachte: Achtung! Kein Verkauf möglich!?",0)</f>
        <v>0</v>
      </c>
      <c r="G50" s="237"/>
      <c r="H50" s="246" t="s">
        <v>182</v>
      </c>
    </row>
    <row r="51" spans="1:9" ht="13.5" thickBot="1" x14ac:dyDescent="0.25">
      <c r="A51" s="51" t="s">
        <v>30</v>
      </c>
      <c r="B51" s="31"/>
      <c r="C51" s="55"/>
      <c r="D51" s="199"/>
      <c r="E51" s="230">
        <v>0</v>
      </c>
      <c r="F51" s="227"/>
      <c r="G51" s="237"/>
      <c r="H51" s="246" t="s">
        <v>181</v>
      </c>
    </row>
    <row r="52" spans="1:9" x14ac:dyDescent="0.2">
      <c r="A52" s="58"/>
      <c r="B52" s="59"/>
      <c r="C52" s="59"/>
      <c r="D52" s="59"/>
      <c r="E52" s="60">
        <f>Milcherlös+Altkuherlös+Verkaufskalbinnenerlös+Kälbererlös_m+E50+E51</f>
        <v>22368</v>
      </c>
      <c r="F52" s="59"/>
      <c r="G52" s="236">
        <f>SUM(G46:G48)</f>
        <v>22368</v>
      </c>
    </row>
    <row r="53" spans="1:9" x14ac:dyDescent="0.2">
      <c r="G53" s="238"/>
    </row>
    <row r="54" spans="1:9" x14ac:dyDescent="0.2">
      <c r="G54" s="238"/>
    </row>
    <row r="55" spans="1:9" ht="15" x14ac:dyDescent="0.2">
      <c r="A55" s="47"/>
      <c r="B55" s="48" t="s">
        <v>23</v>
      </c>
      <c r="C55" s="48"/>
      <c r="D55" s="49"/>
      <c r="E55" s="49"/>
      <c r="F55" s="49"/>
      <c r="G55" s="239"/>
    </row>
    <row r="56" spans="1:9" x14ac:dyDescent="0.2">
      <c r="A56" s="51" t="s">
        <v>163</v>
      </c>
      <c r="B56" s="31"/>
      <c r="C56" s="31"/>
      <c r="D56" s="31"/>
      <c r="E56" s="31"/>
      <c r="F56" s="227" t="str">
        <f>IF(D50&lt;=0,"Achtung! Zukauf notwendig","")</f>
        <v/>
      </c>
      <c r="G56" s="237"/>
    </row>
    <row r="57" spans="1:9" x14ac:dyDescent="0.2">
      <c r="A57" s="198">
        <f>IF(Bedarf_pro_Jahr&gt;Kälber_w,Kälber_w,Bedarf_pro_Jahr)</f>
        <v>1.6</v>
      </c>
      <c r="B57" s="31" t="s">
        <v>135</v>
      </c>
      <c r="C57" s="234">
        <f>Anz_Eigennachzucht+Anz_Verkaufskalbinnen</f>
        <v>1.6</v>
      </c>
      <c r="D57" s="31" t="s">
        <v>150</v>
      </c>
      <c r="E57" s="52">
        <f>Detailkalkulationen!F30</f>
        <v>992</v>
      </c>
      <c r="G57" s="240">
        <f>C57*Detailkalkulationen!F29</f>
        <v>992</v>
      </c>
      <c r="I57" s="62"/>
    </row>
    <row r="58" spans="1:9" ht="14.25" x14ac:dyDescent="0.2">
      <c r="A58" s="63">
        <f>IF(D50&lt;0,D50*-1,0)</f>
        <v>0</v>
      </c>
      <c r="B58" s="31" t="s">
        <v>136</v>
      </c>
      <c r="C58" s="234"/>
      <c r="D58" s="31" t="s">
        <v>149</v>
      </c>
      <c r="E58" s="52">
        <f>Anz_Zukaufskalbinnen*kalbinnenpreis</f>
        <v>0</v>
      </c>
      <c r="F58" s="31"/>
      <c r="G58" s="240">
        <f>C58*BE_Zukauf</f>
        <v>0</v>
      </c>
      <c r="I58" s="62"/>
    </row>
    <row r="59" spans="1:9" x14ac:dyDescent="0.2">
      <c r="A59" s="51" t="s">
        <v>26</v>
      </c>
      <c r="B59" s="31" t="s">
        <v>27</v>
      </c>
      <c r="C59" s="31"/>
      <c r="D59" s="31"/>
      <c r="E59" s="52">
        <f>Grundfutterkosten</f>
        <v>5696</v>
      </c>
      <c r="F59" s="55"/>
      <c r="G59" s="240">
        <f>E59</f>
        <v>5696</v>
      </c>
    </row>
    <row r="60" spans="1:9" x14ac:dyDescent="0.2">
      <c r="A60" s="51"/>
      <c r="B60" s="31" t="s">
        <v>169</v>
      </c>
      <c r="C60" s="31"/>
      <c r="D60" s="31"/>
      <c r="E60" s="52">
        <f>Kraftfutterkosten</f>
        <v>3804</v>
      </c>
      <c r="F60" s="55"/>
      <c r="G60" s="240">
        <f>E60</f>
        <v>3804</v>
      </c>
    </row>
    <row r="61" spans="1:9" x14ac:dyDescent="0.2">
      <c r="A61" s="234">
        <f>AnzK</f>
        <v>7.2</v>
      </c>
      <c r="B61" s="31" t="s">
        <v>28</v>
      </c>
      <c r="C61" s="31"/>
      <c r="D61" s="31" t="s">
        <v>31</v>
      </c>
      <c r="E61" s="52">
        <f>(Kälberaufzuchtfutter+Tierarztpauschale)*AnzK</f>
        <v>86.4</v>
      </c>
      <c r="F61" s="31"/>
      <c r="G61" s="240">
        <f>A61*Kälberaufzuchtkosten_mit_VM</f>
        <v>86.4</v>
      </c>
    </row>
    <row r="62" spans="1:9" x14ac:dyDescent="0.2">
      <c r="A62" s="51" t="s">
        <v>164</v>
      </c>
      <c r="B62" s="31"/>
      <c r="C62" s="31"/>
      <c r="D62" s="31"/>
      <c r="E62" s="52">
        <f>VarKosten_Milchgewinnung</f>
        <v>920</v>
      </c>
      <c r="F62" s="31"/>
      <c r="G62" s="240">
        <f>E62</f>
        <v>920</v>
      </c>
    </row>
    <row r="63" spans="1:9" ht="13.5" thickBot="1" x14ac:dyDescent="0.25">
      <c r="A63" s="51" t="s">
        <v>165</v>
      </c>
      <c r="B63" s="31"/>
      <c r="C63" s="31"/>
      <c r="D63" s="31"/>
      <c r="E63" s="52">
        <f>VarKosten_Sonstiges</f>
        <v>2235.1999999999998</v>
      </c>
      <c r="F63" s="31"/>
      <c r="G63" s="240">
        <f>E63</f>
        <v>2235.1999999999998</v>
      </c>
    </row>
    <row r="64" spans="1:9" ht="13.5" thickBot="1" x14ac:dyDescent="0.25">
      <c r="A64" s="51"/>
      <c r="B64" s="31"/>
      <c r="C64" s="31"/>
      <c r="D64" s="64"/>
      <c r="E64" s="65">
        <f>Bestandesergänzung+BE_Zukauf+E59+E60+E61+E62+E63</f>
        <v>13733.599999999999</v>
      </c>
      <c r="F64" s="66"/>
      <c r="G64" s="241">
        <f>SUM(G57:G63)</f>
        <v>13733.599999999999</v>
      </c>
    </row>
    <row r="65" spans="1:7" x14ac:dyDescent="0.2">
      <c r="A65" s="58"/>
      <c r="B65" s="59"/>
      <c r="C65" s="59"/>
      <c r="D65" s="67" t="s">
        <v>32</v>
      </c>
      <c r="E65" s="68"/>
      <c r="F65" s="68"/>
      <c r="G65" s="69">
        <f>E64/D22</f>
        <v>0.32027985074626864</v>
      </c>
    </row>
    <row r="66" spans="1:7" x14ac:dyDescent="0.2">
      <c r="G66" s="238"/>
    </row>
    <row r="67" spans="1:7" ht="15.75" thickBot="1" x14ac:dyDescent="0.25">
      <c r="B67" s="70" t="s">
        <v>33</v>
      </c>
      <c r="C67" s="70"/>
      <c r="G67" s="238"/>
    </row>
    <row r="68" spans="1:7" x14ac:dyDescent="0.2">
      <c r="A68" s="71" t="s">
        <v>34</v>
      </c>
      <c r="B68" s="72"/>
      <c r="C68" s="72"/>
      <c r="D68" s="72"/>
      <c r="E68" s="231">
        <f>Rohertrag-VarKosten_ohne_VM</f>
        <v>8634.4000000000015</v>
      </c>
      <c r="F68" s="206"/>
      <c r="G68" s="231">
        <f>G52-G64</f>
        <v>8634.4000000000015</v>
      </c>
    </row>
    <row r="69" spans="1:7" x14ac:dyDescent="0.2">
      <c r="A69" s="73" t="s">
        <v>35</v>
      </c>
      <c r="B69" s="74"/>
      <c r="C69" s="74"/>
      <c r="D69" s="75">
        <f>F113</f>
        <v>1490</v>
      </c>
      <c r="E69" s="76">
        <f>DB_pro_Einheit/Akh_pro_Kuh</f>
        <v>5.7948993288590618</v>
      </c>
      <c r="G69" s="76">
        <f>G68/Akh_pro_Kuh</f>
        <v>5.7948993288590618</v>
      </c>
    </row>
    <row r="70" spans="1:7" ht="13.5" thickBot="1" x14ac:dyDescent="0.25">
      <c r="A70" s="77" t="s">
        <v>36</v>
      </c>
      <c r="B70" s="78"/>
      <c r="C70" s="78"/>
      <c r="D70" s="79">
        <f>F115</f>
        <v>1858</v>
      </c>
      <c r="E70" s="80">
        <f>DB_pro_Einheit/Akh_pro_Kuh_incl_Futterwerbung</f>
        <v>4.6471474703982789</v>
      </c>
      <c r="G70" s="80">
        <f>G68/Akh_pro_Kuh_incl_Futterwerbung</f>
        <v>4.6471474703982789</v>
      </c>
    </row>
    <row r="73" spans="1:7" x14ac:dyDescent="0.2">
      <c r="A73" s="81" t="s">
        <v>37</v>
      </c>
      <c r="B73" s="82"/>
      <c r="C73" s="82"/>
      <c r="D73" s="82"/>
      <c r="E73" s="83" t="s">
        <v>18</v>
      </c>
    </row>
    <row r="74" spans="1:7" x14ac:dyDescent="0.2">
      <c r="A74" s="51" t="s">
        <v>24</v>
      </c>
      <c r="B74" s="31"/>
      <c r="C74" s="31"/>
      <c r="D74" s="52">
        <f>E57+BE_Zukauf</f>
        <v>992</v>
      </c>
      <c r="E74" s="84">
        <f>D74/P%</f>
        <v>7.2231607153259167</v>
      </c>
    </row>
    <row r="75" spans="1:7" x14ac:dyDescent="0.2">
      <c r="A75" s="51" t="s">
        <v>27</v>
      </c>
      <c r="B75" s="31"/>
      <c r="C75" s="31"/>
      <c r="D75" s="52">
        <f>E59</f>
        <v>5696</v>
      </c>
      <c r="E75" s="84">
        <f t="shared" ref="E75:E80" si="0">D75/P%</f>
        <v>41.474922817032684</v>
      </c>
    </row>
    <row r="76" spans="1:7" x14ac:dyDescent="0.2">
      <c r="A76" s="51" t="s">
        <v>38</v>
      </c>
      <c r="B76" s="31"/>
      <c r="C76" s="31"/>
      <c r="D76" s="52">
        <f>E60</f>
        <v>3804</v>
      </c>
      <c r="E76" s="84">
        <f t="shared" si="0"/>
        <v>27.698491291431239</v>
      </c>
    </row>
    <row r="77" spans="1:7" x14ac:dyDescent="0.2">
      <c r="A77" s="51" t="s">
        <v>39</v>
      </c>
      <c r="B77" s="31"/>
      <c r="C77" s="31"/>
      <c r="D77" s="52">
        <f>E61</f>
        <v>86.4</v>
      </c>
      <c r="E77" s="84">
        <f t="shared" si="0"/>
        <v>0.62911399778645083</v>
      </c>
    </row>
    <row r="78" spans="1:7" x14ac:dyDescent="0.2">
      <c r="A78" s="51" t="s">
        <v>29</v>
      </c>
      <c r="B78" s="31"/>
      <c r="C78" s="31"/>
      <c r="D78" s="52">
        <f>E62</f>
        <v>920</v>
      </c>
      <c r="E78" s="84">
        <f t="shared" si="0"/>
        <v>6.6988990505038748</v>
      </c>
    </row>
    <row r="79" spans="1:7" x14ac:dyDescent="0.2">
      <c r="A79" s="58" t="s">
        <v>30</v>
      </c>
      <c r="B79" s="59"/>
      <c r="C79" s="59"/>
      <c r="D79" s="52">
        <f>E63</f>
        <v>2235.1999999999998</v>
      </c>
      <c r="E79" s="85">
        <f t="shared" si="0"/>
        <v>16.275412127919846</v>
      </c>
    </row>
    <row r="80" spans="1:7" x14ac:dyDescent="0.2">
      <c r="A80" s="58" t="s">
        <v>40</v>
      </c>
      <c r="B80" s="59"/>
      <c r="C80" s="59"/>
      <c r="D80" s="201">
        <f>SUM(D74:D79)</f>
        <v>13733.599999999999</v>
      </c>
      <c r="E80" s="85">
        <f t="shared" si="0"/>
        <v>100</v>
      </c>
    </row>
    <row r="106" spans="1:7" ht="15" x14ac:dyDescent="0.2">
      <c r="A106" s="86" t="s">
        <v>41</v>
      </c>
      <c r="B106" s="86"/>
      <c r="C106" s="86"/>
      <c r="D106" s="86"/>
      <c r="E106" s="86"/>
      <c r="F106" s="87"/>
      <c r="G106" s="87"/>
    </row>
    <row r="108" spans="1:7" x14ac:dyDescent="0.2">
      <c r="A108" s="81" t="s">
        <v>42</v>
      </c>
      <c r="B108" s="61"/>
      <c r="C108" s="9">
        <v>7.5</v>
      </c>
      <c r="D108" s="88" t="s">
        <v>104</v>
      </c>
      <c r="E108" s="49"/>
      <c r="F108" s="49"/>
      <c r="G108" s="50"/>
    </row>
    <row r="109" spans="1:7" x14ac:dyDescent="0.2">
      <c r="A109" s="51"/>
      <c r="B109" s="31" t="s">
        <v>43</v>
      </c>
      <c r="C109" s="31"/>
      <c r="D109" s="89" t="s">
        <v>44</v>
      </c>
      <c r="E109" s="89" t="s">
        <v>45</v>
      </c>
      <c r="F109" s="89" t="s">
        <v>46</v>
      </c>
      <c r="G109" s="54"/>
    </row>
    <row r="110" spans="1:7" x14ac:dyDescent="0.2">
      <c r="A110" s="51"/>
      <c r="B110" s="31" t="s">
        <v>48</v>
      </c>
      <c r="C110" s="31"/>
      <c r="D110" s="3">
        <v>0</v>
      </c>
      <c r="E110" s="3">
        <v>0</v>
      </c>
      <c r="F110" s="53">
        <f>D110*E110/60</f>
        <v>0</v>
      </c>
      <c r="G110" s="54"/>
    </row>
    <row r="111" spans="1:7" x14ac:dyDescent="0.2">
      <c r="A111" s="51"/>
      <c r="B111" s="31" t="s">
        <v>47</v>
      </c>
      <c r="C111" s="31"/>
      <c r="D111" s="89">
        <f>365-D110</f>
        <v>365</v>
      </c>
      <c r="E111" s="3">
        <v>0</v>
      </c>
      <c r="F111" s="53">
        <f>D111*E111/60</f>
        <v>0</v>
      </c>
      <c r="G111" s="54"/>
    </row>
    <row r="112" spans="1:7" x14ac:dyDescent="0.2">
      <c r="A112" s="51"/>
      <c r="B112" s="263" t="s">
        <v>170</v>
      </c>
      <c r="C112" s="263"/>
      <c r="D112" s="207" t="s">
        <v>171</v>
      </c>
      <c r="E112" s="31"/>
      <c r="F112" s="249">
        <v>1490</v>
      </c>
      <c r="G112" s="54"/>
    </row>
    <row r="113" spans="1:7" x14ac:dyDescent="0.2">
      <c r="A113" s="51"/>
      <c r="C113" s="90"/>
      <c r="D113" s="260" t="s">
        <v>109</v>
      </c>
      <c r="E113" s="260"/>
      <c r="F113" s="91">
        <f>SUM(F110:F112)</f>
        <v>1490</v>
      </c>
      <c r="G113" s="54"/>
    </row>
    <row r="114" spans="1:7" x14ac:dyDescent="0.2">
      <c r="A114" s="51"/>
      <c r="B114" s="31" t="s">
        <v>49</v>
      </c>
      <c r="C114" s="31"/>
      <c r="D114" s="207">
        <v>368</v>
      </c>
      <c r="E114" s="31" t="s">
        <v>121</v>
      </c>
      <c r="F114" s="53"/>
      <c r="G114" s="92"/>
    </row>
    <row r="115" spans="1:7" ht="13.5" thickBot="1" x14ac:dyDescent="0.25">
      <c r="A115" s="51"/>
      <c r="B115" s="31" t="s">
        <v>120</v>
      </c>
      <c r="C115" s="31"/>
      <c r="D115" s="31"/>
      <c r="E115" s="31"/>
      <c r="F115" s="75">
        <f>F113+D114</f>
        <v>1858</v>
      </c>
      <c r="G115" s="54"/>
    </row>
    <row r="116" spans="1:7" x14ac:dyDescent="0.2">
      <c r="A116" s="58"/>
      <c r="B116" s="59" t="s">
        <v>42</v>
      </c>
      <c r="C116" s="59"/>
      <c r="D116" s="59"/>
      <c r="E116" s="59"/>
      <c r="F116" s="59"/>
      <c r="G116" s="93">
        <f>F115*C108</f>
        <v>13935</v>
      </c>
    </row>
    <row r="117" spans="1:7" x14ac:dyDescent="0.2">
      <c r="G117" s="94"/>
    </row>
    <row r="118" spans="1:7" x14ac:dyDescent="0.2">
      <c r="A118" s="81" t="s">
        <v>50</v>
      </c>
      <c r="B118" s="49"/>
      <c r="C118" s="49"/>
      <c r="D118" s="49"/>
      <c r="E118" s="49"/>
      <c r="F118" s="49"/>
      <c r="G118" s="50"/>
    </row>
    <row r="119" spans="1:7" x14ac:dyDescent="0.2">
      <c r="A119" s="95" t="s">
        <v>51</v>
      </c>
      <c r="B119" s="31" t="s">
        <v>183</v>
      </c>
      <c r="C119" s="31"/>
      <c r="D119" s="10">
        <v>100000</v>
      </c>
      <c r="E119" s="31"/>
      <c r="F119" s="31"/>
      <c r="G119" s="54"/>
    </row>
    <row r="120" spans="1:7" x14ac:dyDescent="0.2">
      <c r="A120" s="51"/>
      <c r="B120" s="31" t="s">
        <v>52</v>
      </c>
      <c r="C120" s="31"/>
      <c r="D120" s="4">
        <v>40</v>
      </c>
      <c r="E120" s="31" t="s">
        <v>8</v>
      </c>
      <c r="F120" s="31"/>
      <c r="G120" s="96">
        <f>D119/D120</f>
        <v>2500</v>
      </c>
    </row>
    <row r="121" spans="1:7" x14ac:dyDescent="0.2">
      <c r="A121" s="51"/>
      <c r="B121" s="31" t="s">
        <v>25</v>
      </c>
      <c r="C121" s="31"/>
      <c r="D121" s="97">
        <f>D42</f>
        <v>0.02</v>
      </c>
      <c r="E121" s="31" t="s">
        <v>140</v>
      </c>
      <c r="F121" s="31"/>
      <c r="G121" s="96">
        <f>D119*0.5*D121</f>
        <v>1000</v>
      </c>
    </row>
    <row r="122" spans="1:7" x14ac:dyDescent="0.2">
      <c r="A122" s="51"/>
      <c r="B122" s="31" t="s">
        <v>53</v>
      </c>
      <c r="C122" s="31"/>
      <c r="D122" s="10">
        <v>500</v>
      </c>
      <c r="E122" s="31"/>
      <c r="F122" s="31"/>
      <c r="G122" s="96">
        <f>D122</f>
        <v>500</v>
      </c>
    </row>
    <row r="123" spans="1:7" ht="13.5" thickBot="1" x14ac:dyDescent="0.25">
      <c r="A123" s="51"/>
      <c r="B123" s="31" t="s">
        <v>54</v>
      </c>
      <c r="C123" s="31"/>
      <c r="D123" s="6">
        <v>0.01</v>
      </c>
      <c r="E123" s="31" t="s">
        <v>98</v>
      </c>
      <c r="F123" s="31"/>
      <c r="G123" s="96">
        <f>D119*D123</f>
        <v>1000</v>
      </c>
    </row>
    <row r="124" spans="1:7" ht="13.5" thickBot="1" x14ac:dyDescent="0.25">
      <c r="A124" s="58"/>
      <c r="B124" s="59" t="s">
        <v>55</v>
      </c>
      <c r="C124" s="59"/>
      <c r="D124" s="59"/>
      <c r="E124" s="59"/>
      <c r="F124" s="59"/>
      <c r="G124" s="93">
        <f>SUM(G120:G123)</f>
        <v>5000</v>
      </c>
    </row>
    <row r="125" spans="1:7" x14ac:dyDescent="0.2">
      <c r="A125" s="95"/>
      <c r="G125" s="93"/>
    </row>
    <row r="126" spans="1:7" x14ac:dyDescent="0.2">
      <c r="A126" s="98" t="s">
        <v>56</v>
      </c>
      <c r="B126" s="49" t="s">
        <v>57</v>
      </c>
      <c r="C126" s="49"/>
      <c r="D126" s="49"/>
      <c r="E126" s="11">
        <v>6000</v>
      </c>
      <c r="F126" s="49" t="s">
        <v>122</v>
      </c>
      <c r="G126" s="99"/>
    </row>
    <row r="127" spans="1:7" x14ac:dyDescent="0.2">
      <c r="A127" s="51"/>
      <c r="B127" s="31" t="s">
        <v>52</v>
      </c>
      <c r="C127" s="31"/>
      <c r="D127" s="31"/>
      <c r="E127" s="4">
        <v>12</v>
      </c>
      <c r="F127" s="31" t="s">
        <v>8</v>
      </c>
      <c r="G127" s="96">
        <f>E126/E127</f>
        <v>500</v>
      </c>
    </row>
    <row r="128" spans="1:7" ht="13.5" thickBot="1" x14ac:dyDescent="0.25">
      <c r="A128" s="51"/>
      <c r="B128" s="31" t="s">
        <v>25</v>
      </c>
      <c r="C128" s="31"/>
      <c r="D128" s="31"/>
      <c r="E128" s="97">
        <f>D42</f>
        <v>0.02</v>
      </c>
      <c r="F128" s="31" t="s">
        <v>140</v>
      </c>
      <c r="G128" s="96">
        <f>E126*E128*0.5</f>
        <v>60</v>
      </c>
    </row>
    <row r="129" spans="1:7" ht="13.5" thickBot="1" x14ac:dyDescent="0.25">
      <c r="A129" s="51"/>
      <c r="B129" s="31" t="s">
        <v>58</v>
      </c>
      <c r="C129" s="31"/>
      <c r="D129" s="31"/>
      <c r="E129" s="31"/>
      <c r="F129" s="31"/>
      <c r="G129" s="100">
        <f>G128+G127</f>
        <v>560</v>
      </c>
    </row>
    <row r="130" spans="1:7" ht="13.5" thickBot="1" x14ac:dyDescent="0.25">
      <c r="A130" s="51"/>
      <c r="B130" s="31"/>
      <c r="C130" s="31"/>
      <c r="D130" s="31"/>
      <c r="E130" s="31"/>
      <c r="F130" s="31"/>
      <c r="G130" s="96"/>
    </row>
    <row r="131" spans="1:7" x14ac:dyDescent="0.2">
      <c r="A131" s="101" t="s">
        <v>56</v>
      </c>
      <c r="B131" s="59" t="s">
        <v>59</v>
      </c>
      <c r="C131" s="59"/>
      <c r="D131" s="59"/>
      <c r="E131" s="208">
        <v>5417</v>
      </c>
      <c r="F131" s="59"/>
      <c r="G131" s="93">
        <f>E131</f>
        <v>5417</v>
      </c>
    </row>
    <row r="132" spans="1:7" x14ac:dyDescent="0.2">
      <c r="G132" s="94"/>
    </row>
    <row r="133" spans="1:7" x14ac:dyDescent="0.2">
      <c r="A133" s="81" t="s">
        <v>60</v>
      </c>
      <c r="B133" s="82"/>
      <c r="C133" s="49"/>
      <c r="D133" s="49"/>
      <c r="E133" s="49"/>
      <c r="F133" s="49"/>
      <c r="G133" s="99"/>
    </row>
    <row r="134" spans="1:7" x14ac:dyDescent="0.2">
      <c r="A134" s="95" t="s">
        <v>99</v>
      </c>
      <c r="B134" s="31"/>
      <c r="C134" s="31"/>
      <c r="D134" s="97"/>
      <c r="E134" s="31"/>
      <c r="F134" s="31"/>
      <c r="G134" s="102"/>
    </row>
    <row r="135" spans="1:7" ht="13.5" thickBot="1" x14ac:dyDescent="0.25">
      <c r="A135" s="51"/>
      <c r="B135" s="31" t="s">
        <v>141</v>
      </c>
      <c r="C135" s="31"/>
      <c r="E135" s="10">
        <v>3000</v>
      </c>
      <c r="F135" s="31"/>
      <c r="G135" s="102"/>
    </row>
    <row r="136" spans="1:7" x14ac:dyDescent="0.2">
      <c r="A136" s="58"/>
      <c r="B136" s="59"/>
      <c r="C136" s="59"/>
      <c r="D136" s="59"/>
      <c r="E136" s="59"/>
      <c r="F136" s="59"/>
      <c r="G136" s="93">
        <f>E135</f>
        <v>3000</v>
      </c>
    </row>
    <row r="137" spans="1:7" x14ac:dyDescent="0.2">
      <c r="G137" s="103"/>
    </row>
    <row r="138" spans="1:7" ht="13.5" thickBot="1" x14ac:dyDescent="0.25">
      <c r="A138" s="98" t="s">
        <v>61</v>
      </c>
      <c r="B138" s="49"/>
      <c r="C138" s="49"/>
      <c r="D138" s="49" t="s">
        <v>62</v>
      </c>
      <c r="E138" s="49"/>
      <c r="F138" s="49"/>
      <c r="G138" s="104"/>
    </row>
    <row r="139" spans="1:7" x14ac:dyDescent="0.2">
      <c r="A139" s="58"/>
      <c r="B139" s="59" t="s">
        <v>63</v>
      </c>
      <c r="C139" s="59"/>
      <c r="D139" s="12">
        <v>1300</v>
      </c>
      <c r="E139" s="59" t="s">
        <v>112</v>
      </c>
      <c r="F139" s="105"/>
      <c r="G139" s="93">
        <f>D139</f>
        <v>1300</v>
      </c>
    </row>
    <row r="141" spans="1:7" ht="13.5" thickBot="1" x14ac:dyDescent="0.25">
      <c r="A141" s="106" t="s">
        <v>64</v>
      </c>
      <c r="B141" s="107"/>
      <c r="C141" s="108"/>
      <c r="D141" s="49"/>
      <c r="E141" s="49"/>
      <c r="F141" s="49"/>
      <c r="G141" s="239"/>
    </row>
    <row r="142" spans="1:7" x14ac:dyDescent="0.2">
      <c r="A142" s="51"/>
      <c r="B142" s="31" t="s">
        <v>23</v>
      </c>
      <c r="C142" s="31"/>
      <c r="D142" s="31"/>
      <c r="E142" s="31"/>
      <c r="F142" s="52">
        <f>D80</f>
        <v>13733.599999999999</v>
      </c>
      <c r="G142" s="242">
        <f>F142</f>
        <v>13733.599999999999</v>
      </c>
    </row>
    <row r="143" spans="1:7" x14ac:dyDescent="0.2">
      <c r="A143" s="51"/>
      <c r="B143" s="31" t="s">
        <v>42</v>
      </c>
      <c r="C143" s="31"/>
      <c r="D143" s="31"/>
      <c r="E143" s="31"/>
      <c r="F143" s="52">
        <f>G116</f>
        <v>13935</v>
      </c>
      <c r="G143" s="242">
        <f>F143</f>
        <v>13935</v>
      </c>
    </row>
    <row r="144" spans="1:7" x14ac:dyDescent="0.2">
      <c r="A144" s="51"/>
      <c r="B144" s="31" t="s">
        <v>50</v>
      </c>
      <c r="C144" s="31"/>
      <c r="D144" s="31"/>
      <c r="E144" s="31"/>
      <c r="F144" s="52">
        <f>G124+G125+G129+G131</f>
        <v>10977</v>
      </c>
      <c r="G144" s="242">
        <f>F144</f>
        <v>10977</v>
      </c>
    </row>
    <row r="145" spans="1:8" ht="13.5" thickBot="1" x14ac:dyDescent="0.25">
      <c r="A145" s="51"/>
      <c r="B145" s="31" t="s">
        <v>60</v>
      </c>
      <c r="C145" s="31"/>
      <c r="D145" s="31"/>
      <c r="E145" s="31"/>
      <c r="F145" s="52">
        <f>G136+G139</f>
        <v>4300</v>
      </c>
      <c r="G145" s="242">
        <f>F145</f>
        <v>4300</v>
      </c>
    </row>
    <row r="146" spans="1:8" ht="13.5" thickBot="1" x14ac:dyDescent="0.25">
      <c r="A146" s="51"/>
      <c r="B146" s="74" t="s">
        <v>65</v>
      </c>
      <c r="C146" s="31"/>
      <c r="D146" s="31"/>
      <c r="E146" s="31"/>
      <c r="F146" s="100">
        <f>SUM(F142:F145)</f>
        <v>42945.599999999999</v>
      </c>
      <c r="G146" s="243">
        <f>F146</f>
        <v>42945.599999999999</v>
      </c>
    </row>
    <row r="147" spans="1:8" x14ac:dyDescent="0.2">
      <c r="A147" s="51"/>
      <c r="B147" s="31" t="s">
        <v>66</v>
      </c>
      <c r="C147" s="31" t="s">
        <v>175</v>
      </c>
      <c r="D147" s="31"/>
      <c r="E147" s="31"/>
      <c r="F147" s="52">
        <f>Altkuherlös+Verkaufskalbinnenerlös</f>
        <v>1280</v>
      </c>
      <c r="G147" s="238"/>
    </row>
    <row r="148" spans="1:8" x14ac:dyDescent="0.2">
      <c r="A148" s="51"/>
      <c r="B148" s="31"/>
      <c r="C148" s="31" t="s">
        <v>67</v>
      </c>
      <c r="D148" s="31"/>
      <c r="E148" s="31"/>
      <c r="F148" s="52">
        <f>E49+E50</f>
        <v>1088</v>
      </c>
      <c r="G148" s="240">
        <f>G47</f>
        <v>2368</v>
      </c>
      <c r="H148" s="27" t="s">
        <v>173</v>
      </c>
    </row>
    <row r="149" spans="1:8" x14ac:dyDescent="0.2">
      <c r="A149" s="51"/>
      <c r="B149" s="31"/>
      <c r="C149" s="31" t="s">
        <v>30</v>
      </c>
      <c r="D149" s="31"/>
      <c r="E149" s="31"/>
      <c r="F149" s="250">
        <v>0</v>
      </c>
      <c r="G149" s="250">
        <v>0</v>
      </c>
      <c r="H149" s="27" t="s">
        <v>30</v>
      </c>
    </row>
    <row r="150" spans="1:8" x14ac:dyDescent="0.2">
      <c r="A150" s="51"/>
      <c r="B150" s="74" t="s">
        <v>68</v>
      </c>
      <c r="C150" s="31"/>
      <c r="D150" s="31"/>
      <c r="E150" s="31"/>
      <c r="F150" s="31"/>
      <c r="G150" s="237"/>
    </row>
    <row r="151" spans="1:8" ht="15" customHeight="1" x14ac:dyDescent="0.2">
      <c r="A151" s="51"/>
      <c r="B151" s="109" t="str">
        <f>CONCATENATE("bezogen auf ",Gesamtgemelk," kg Milch")</f>
        <v>bezogen auf 42880 kg Milch</v>
      </c>
      <c r="C151" s="109"/>
      <c r="D151" s="109"/>
      <c r="E151" s="109"/>
      <c r="F151" s="110">
        <f>F146-(F147+F148+F149)</f>
        <v>40577.599999999999</v>
      </c>
      <c r="G151" s="110">
        <f>G146-G148-G149</f>
        <v>40577.599999999999</v>
      </c>
    </row>
    <row r="152" spans="1:8" ht="15.75" customHeight="1" x14ac:dyDescent="0.2">
      <c r="A152" s="58"/>
      <c r="B152" s="111" t="s">
        <v>101</v>
      </c>
      <c r="C152" s="111"/>
      <c r="D152" s="111"/>
      <c r="E152" s="111"/>
      <c r="F152" s="112">
        <f>F151/Gesamtgemelk</f>
        <v>0.94630597014925366</v>
      </c>
      <c r="G152" s="112">
        <f>G151/Gesamtgemelk</f>
        <v>0.94630597014925366</v>
      </c>
    </row>
    <row r="154" spans="1:8" ht="13.5" thickBot="1" x14ac:dyDescent="0.25">
      <c r="A154" s="113" t="s">
        <v>69</v>
      </c>
      <c r="B154" s="114"/>
      <c r="C154" s="115"/>
      <c r="D154" s="49"/>
      <c r="E154" s="49"/>
      <c r="F154" s="49"/>
      <c r="G154" s="239"/>
    </row>
    <row r="155" spans="1:8" x14ac:dyDescent="0.2">
      <c r="A155" s="51"/>
      <c r="B155" s="31" t="s">
        <v>19</v>
      </c>
      <c r="C155" s="31"/>
      <c r="E155" s="31" t="str">
        <f>CONCATENATE("für ",Marktleistung," kg")</f>
        <v>für 40000 kg</v>
      </c>
      <c r="F155" s="205">
        <f>D34</f>
        <v>0.5</v>
      </c>
      <c r="G155" s="244">
        <f>F155</f>
        <v>0.5</v>
      </c>
    </row>
    <row r="156" spans="1:8" x14ac:dyDescent="0.2">
      <c r="A156" s="51"/>
      <c r="B156" s="31" t="s">
        <v>70</v>
      </c>
      <c r="C156" s="31"/>
      <c r="E156" s="31" t="str">
        <f>CONCATENATE("für ",Gesamtgemelk," kg")</f>
        <v>für 42880 kg</v>
      </c>
      <c r="F156" s="205">
        <f>F152</f>
        <v>0.94630597014925366</v>
      </c>
      <c r="G156" s="240">
        <f>G152</f>
        <v>0.94630597014925366</v>
      </c>
    </row>
    <row r="157" spans="1:8" ht="13.5" thickBot="1" x14ac:dyDescent="0.25">
      <c r="A157" s="51"/>
      <c r="B157" s="31" t="s">
        <v>71</v>
      </c>
      <c r="C157" s="31"/>
      <c r="E157" s="31"/>
      <c r="F157" s="205">
        <f>F155*Marktleistung-F156*Gesamtgemelk</f>
        <v>-20577.599999999999</v>
      </c>
      <c r="G157" s="245">
        <f>G155*Marktleistung-G156*Gesamtgemelk</f>
        <v>-20577.599999999999</v>
      </c>
    </row>
    <row r="158" spans="1:8" ht="13.5" thickBot="1" x14ac:dyDescent="0.25">
      <c r="A158" s="116" t="s">
        <v>72</v>
      </c>
      <c r="B158" s="117"/>
      <c r="C158" s="118">
        <f>G116</f>
        <v>13935</v>
      </c>
      <c r="D158" s="117" t="s">
        <v>73</v>
      </c>
      <c r="E158" s="117"/>
      <c r="F158" s="118">
        <f>F157</f>
        <v>-20577.599999999999</v>
      </c>
      <c r="G158" s="118">
        <f>G157</f>
        <v>-20577.599999999999</v>
      </c>
    </row>
    <row r="159" spans="1:8" ht="13.5" thickBot="1" x14ac:dyDescent="0.25">
      <c r="A159" s="119" t="s">
        <v>74</v>
      </c>
      <c r="B159" s="120"/>
      <c r="C159" s="120"/>
      <c r="D159" s="120"/>
      <c r="E159" s="120"/>
      <c r="F159" s="121">
        <f>$C$158+$F$158</f>
        <v>-6642.5999999999985</v>
      </c>
      <c r="G159" s="121">
        <f>$C$158+$G$158</f>
        <v>-6642.5999999999985</v>
      </c>
    </row>
    <row r="160" spans="1:8" x14ac:dyDescent="0.2">
      <c r="A160" s="122"/>
      <c r="B160" s="123"/>
      <c r="C160" s="123"/>
      <c r="D160" s="123"/>
      <c r="E160" s="123" t="s">
        <v>176</v>
      </c>
      <c r="F160" s="124">
        <f>F159/F115</f>
        <v>-3.5751345532830991</v>
      </c>
      <c r="G160" s="124">
        <f>G159/F115</f>
        <v>-3.5751345532830991</v>
      </c>
    </row>
    <row r="161" spans="2:7" ht="13.5" thickBot="1" x14ac:dyDescent="0.25"/>
    <row r="162" spans="2:7" ht="13.5" thickBot="1" x14ac:dyDescent="0.25">
      <c r="B162" s="125" t="s">
        <v>75</v>
      </c>
      <c r="C162" s="126" t="s">
        <v>76</v>
      </c>
      <c r="D162" s="127"/>
      <c r="F162" s="264" t="s">
        <v>166</v>
      </c>
      <c r="G162" s="264"/>
    </row>
    <row r="163" spans="2:7" ht="15.75" thickBot="1" x14ac:dyDescent="0.25">
      <c r="B163" s="128">
        <f>D34</f>
        <v>0.5</v>
      </c>
      <c r="C163" s="129">
        <f>F159/F115</f>
        <v>-3.5751345532830991</v>
      </c>
      <c r="D163" s="130"/>
      <c r="F163" s="264"/>
      <c r="G163" s="264"/>
    </row>
    <row r="164" spans="2:7" ht="15" x14ac:dyDescent="0.2">
      <c r="B164" s="131">
        <v>0.35</v>
      </c>
      <c r="C164" s="132">
        <f t="dataTable" ref="C164:C173" dt2D="0" dtr="0" r1="D34"/>
        <v>-6.8044133476856832</v>
      </c>
      <c r="D164" s="133"/>
      <c r="F164" s="264"/>
      <c r="G164" s="264"/>
    </row>
    <row r="165" spans="2:7" ht="15" x14ac:dyDescent="0.2">
      <c r="B165" s="134">
        <v>0.37</v>
      </c>
      <c r="C165" s="132">
        <v>-6.3738428417653381</v>
      </c>
      <c r="D165" s="133"/>
      <c r="F165" s="264"/>
      <c r="G165" s="264"/>
    </row>
    <row r="166" spans="2:7" ht="15" x14ac:dyDescent="0.2">
      <c r="B166" s="134">
        <v>0.39</v>
      </c>
      <c r="C166" s="132">
        <v>-5.9432723358449939</v>
      </c>
      <c r="D166" s="133"/>
      <c r="F166" s="264"/>
      <c r="G166" s="264"/>
    </row>
    <row r="167" spans="2:7" ht="15" x14ac:dyDescent="0.2">
      <c r="B167" s="134">
        <v>0.43</v>
      </c>
      <c r="C167" s="132">
        <v>-5.0821313240043047</v>
      </c>
      <c r="D167" s="133"/>
      <c r="F167" s="264"/>
      <c r="G167" s="264"/>
    </row>
    <row r="168" spans="2:7" ht="15" x14ac:dyDescent="0.2">
      <c r="B168" s="134">
        <v>0.47</v>
      </c>
      <c r="C168" s="132">
        <v>-4.2209903121636163</v>
      </c>
      <c r="D168" s="133"/>
      <c r="F168" s="264"/>
      <c r="G168" s="264"/>
    </row>
    <row r="169" spans="2:7" ht="15" x14ac:dyDescent="0.2">
      <c r="B169" s="134">
        <v>0.51</v>
      </c>
      <c r="C169" s="132">
        <v>-3.3598493003229271</v>
      </c>
      <c r="D169" s="133"/>
      <c r="F169" s="264"/>
      <c r="G169" s="264"/>
    </row>
    <row r="170" spans="2:7" ht="15.75" thickBot="1" x14ac:dyDescent="0.25">
      <c r="B170" s="135">
        <v>0.55000000000000004</v>
      </c>
      <c r="C170" s="136">
        <v>-2.4987082884822382</v>
      </c>
      <c r="D170" s="137"/>
      <c r="F170" s="264"/>
      <c r="G170" s="264"/>
    </row>
    <row r="171" spans="2:7" ht="15" x14ac:dyDescent="0.2">
      <c r="B171" s="138">
        <v>0.6</v>
      </c>
      <c r="C171" s="139">
        <v>-1.4222820236813771</v>
      </c>
      <c r="D171" s="140"/>
      <c r="F171" s="264"/>
      <c r="G171" s="264"/>
    </row>
    <row r="172" spans="2:7" ht="15" x14ac:dyDescent="0.2">
      <c r="B172" s="141">
        <v>0.7</v>
      </c>
      <c r="C172" s="142">
        <v>0.73057050592034523</v>
      </c>
      <c r="D172" s="143"/>
      <c r="F172" s="264"/>
      <c r="G172" s="264"/>
    </row>
    <row r="173" spans="2:7" ht="15.75" thickBot="1" x14ac:dyDescent="0.25">
      <c r="B173" s="144">
        <v>0.8</v>
      </c>
      <c r="C173" s="145">
        <v>2.8834230355220676</v>
      </c>
      <c r="D173" s="146"/>
      <c r="F173" s="264"/>
      <c r="G173" s="264"/>
    </row>
  </sheetData>
  <sheetProtection sheet="1" objects="1" scenarios="1"/>
  <mergeCells count="19">
    <mergeCell ref="A1:G1"/>
    <mergeCell ref="A2:H2"/>
    <mergeCell ref="A21:C21"/>
    <mergeCell ref="A3:H3"/>
    <mergeCell ref="A6:C6"/>
    <mergeCell ref="A4:G4"/>
    <mergeCell ref="H5:I5"/>
    <mergeCell ref="B112:C112"/>
    <mergeCell ref="F162:G173"/>
    <mergeCell ref="F35:G35"/>
    <mergeCell ref="F36:G36"/>
    <mergeCell ref="F37:G37"/>
    <mergeCell ref="F38:G38"/>
    <mergeCell ref="F39:G39"/>
    <mergeCell ref="F31:H31"/>
    <mergeCell ref="F32:H32"/>
    <mergeCell ref="F33:H33"/>
    <mergeCell ref="D113:E113"/>
    <mergeCell ref="F34:H34"/>
  </mergeCells>
  <phoneticPr fontId="0" type="noConversion"/>
  <hyperlinks>
    <hyperlink ref="H4" r:id="rId1"/>
    <hyperlink ref="H5:I5" r:id="rId2" display="http://blrw.twoday.net/"/>
  </hyperlinks>
  <printOptions horizontalCentered="1" gridLinesSet="0"/>
  <pageMargins left="0.78740157480314965" right="0.78740157480314965" top="0.98425196850393704" bottom="0.98425196850393704" header="0.51181102362204722" footer="0.51181102362204722"/>
  <pageSetup paperSize="9" scale="48" fitToHeight="0" orientation="portrait" horizontalDpi="4294967295" verticalDpi="4294967295" r:id="rId3"/>
  <headerFooter alignWithMargins="0">
    <oddFooter>&amp;L&amp;F&amp;C&amp;D&amp;R&amp;P von &amp;N</oddFooter>
  </headerFooter>
  <rowBreaks count="2" manualBreakCount="2">
    <brk id="43" max="16383" man="1"/>
    <brk id="104" max="16383" man="1"/>
  </rowBreaks>
  <ignoredErrors>
    <ignoredError sqref="G61" formula="1"/>
  </ignoredErrors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showGridLines="0" showRowColHeaders="0" showZeros="0" defaultGridColor="0" topLeftCell="A14" colorId="17" zoomScaleNormal="100" workbookViewId="0">
      <selection activeCell="A14" sqref="A14:H14"/>
    </sheetView>
  </sheetViews>
  <sheetFormatPr baseColWidth="10" defaultColWidth="11.42578125" defaultRowHeight="12.75" x14ac:dyDescent="0.2"/>
  <cols>
    <col min="1" max="1" width="13.140625" style="27" customWidth="1"/>
    <col min="2" max="2" width="17.7109375" style="27" customWidth="1"/>
    <col min="3" max="3" width="11.42578125" style="27"/>
    <col min="4" max="4" width="13.7109375" style="27" customWidth="1"/>
    <col min="5" max="5" width="13.85546875" style="27" customWidth="1"/>
    <col min="6" max="6" width="15" style="27" customWidth="1"/>
    <col min="7" max="7" width="12" style="27" customWidth="1"/>
    <col min="8" max="16384" width="11.42578125" style="27"/>
  </cols>
  <sheetData>
    <row r="1" spans="1:10" ht="21" customHeight="1" thickBot="1" x14ac:dyDescent="0.25">
      <c r="A1" s="282" t="s">
        <v>134</v>
      </c>
      <c r="B1" s="283"/>
      <c r="C1" s="283"/>
      <c r="D1" s="283"/>
      <c r="E1" s="148" t="s">
        <v>77</v>
      </c>
      <c r="F1" s="149"/>
    </row>
    <row r="3" spans="1:10" ht="13.5" thickBot="1" x14ac:dyDescent="0.25"/>
    <row r="4" spans="1:10" ht="22.5" customHeight="1" thickTop="1" thickBot="1" x14ac:dyDescent="0.3">
      <c r="A4" s="213" t="s">
        <v>142</v>
      </c>
      <c r="B4" s="214"/>
      <c r="C4" s="214"/>
      <c r="D4" s="214"/>
      <c r="E4" s="214"/>
      <c r="F4" s="214" t="str">
        <f>CONCATENATE(Gesamtgemelk," kg Gesamtmilchleistung")</f>
        <v>42880 kg Gesamtmilchleistung</v>
      </c>
      <c r="G4" s="215"/>
      <c r="H4" s="216"/>
    </row>
    <row r="5" spans="1:10" ht="13.5" thickTop="1" x14ac:dyDescent="0.2">
      <c r="A5" s="210" t="s">
        <v>27</v>
      </c>
      <c r="B5" s="211">
        <v>5696</v>
      </c>
      <c r="C5" s="291" t="s">
        <v>133</v>
      </c>
      <c r="D5" s="291"/>
      <c r="E5" s="212" t="s">
        <v>112</v>
      </c>
      <c r="F5" s="153">
        <f>B5</f>
        <v>5696</v>
      </c>
      <c r="G5" s="150"/>
      <c r="H5" s="151"/>
    </row>
    <row r="6" spans="1:10" ht="13.5" thickBot="1" x14ac:dyDescent="0.25">
      <c r="A6" s="293" t="s">
        <v>167</v>
      </c>
      <c r="B6" s="294"/>
      <c r="C6" s="226"/>
      <c r="D6" s="226"/>
      <c r="E6" s="212"/>
      <c r="F6" s="229">
        <v>0</v>
      </c>
      <c r="G6" s="150"/>
      <c r="H6" s="151"/>
    </row>
    <row r="7" spans="1:10" ht="14.25" thickTop="1" thickBot="1" x14ac:dyDescent="0.25">
      <c r="A7" s="152" t="s">
        <v>107</v>
      </c>
      <c r="B7" s="16">
        <v>7200</v>
      </c>
      <c r="C7" s="292" t="s">
        <v>115</v>
      </c>
      <c r="D7" s="292"/>
      <c r="E7" s="13">
        <v>0.5</v>
      </c>
      <c r="F7" s="153">
        <f>B7*E7</f>
        <v>3600</v>
      </c>
      <c r="G7" s="150"/>
      <c r="H7" s="151"/>
    </row>
    <row r="8" spans="1:10" ht="14.25" thickTop="1" thickBot="1" x14ac:dyDescent="0.25">
      <c r="A8" s="154" t="s">
        <v>108</v>
      </c>
      <c r="B8" s="16">
        <v>200</v>
      </c>
      <c r="C8" s="292" t="s">
        <v>115</v>
      </c>
      <c r="D8" s="292"/>
      <c r="E8" s="13">
        <v>1.02</v>
      </c>
      <c r="F8" s="155">
        <f>B8*E8</f>
        <v>204</v>
      </c>
      <c r="G8" s="150"/>
      <c r="H8" s="151"/>
    </row>
    <row r="9" spans="1:10" ht="13.5" thickBot="1" x14ac:dyDescent="0.25">
      <c r="A9" s="154" t="s">
        <v>78</v>
      </c>
      <c r="B9" s="156"/>
      <c r="C9" s="156"/>
      <c r="D9" s="157"/>
      <c r="E9" s="156"/>
      <c r="F9" s="158"/>
      <c r="G9" s="159">
        <f>F5</f>
        <v>5696</v>
      </c>
      <c r="H9" s="151"/>
    </row>
    <row r="10" spans="1:10" ht="13.5" thickBot="1" x14ac:dyDescent="0.25">
      <c r="A10" s="295" t="s">
        <v>168</v>
      </c>
      <c r="B10" s="296"/>
      <c r="C10" s="296"/>
      <c r="D10" s="156"/>
      <c r="E10" s="156"/>
      <c r="F10" s="158"/>
      <c r="G10" s="159">
        <f>F8+F7+F6</f>
        <v>3804</v>
      </c>
      <c r="H10" s="151"/>
    </row>
    <row r="11" spans="1:10" ht="13.5" thickBot="1" x14ac:dyDescent="0.25">
      <c r="A11" s="154" t="s">
        <v>79</v>
      </c>
      <c r="B11" s="156"/>
      <c r="C11" s="156"/>
      <c r="D11" s="156"/>
      <c r="E11" s="156"/>
      <c r="F11" s="158"/>
      <c r="G11" s="159">
        <f>G10+G9</f>
        <v>9500</v>
      </c>
      <c r="H11" s="151"/>
      <c r="J11" s="228"/>
    </row>
    <row r="12" spans="1:10" ht="13.5" thickBot="1" x14ac:dyDescent="0.25">
      <c r="A12" s="160"/>
      <c r="B12" s="161"/>
      <c r="C12" s="161"/>
      <c r="D12" s="161"/>
      <c r="E12" s="161"/>
      <c r="F12" s="161"/>
      <c r="G12" s="161"/>
      <c r="H12" s="162"/>
    </row>
    <row r="13" spans="1:10" ht="14.25" thickTop="1" thickBot="1" x14ac:dyDescent="0.25">
      <c r="A13" s="55"/>
      <c r="B13" s="55"/>
      <c r="C13" s="55"/>
      <c r="D13" s="55"/>
      <c r="E13" s="55"/>
      <c r="F13" s="55"/>
      <c r="G13" s="55"/>
      <c r="H13" s="55"/>
    </row>
    <row r="14" spans="1:10" ht="19.5" thickTop="1" thickBot="1" x14ac:dyDescent="0.3">
      <c r="A14" s="286" t="s">
        <v>160</v>
      </c>
      <c r="B14" s="287"/>
      <c r="C14" s="287"/>
      <c r="D14" s="287"/>
      <c r="E14" s="287"/>
      <c r="F14" s="287"/>
      <c r="G14" s="287"/>
      <c r="H14" s="288"/>
    </row>
    <row r="15" spans="1:10" ht="13.5" thickTop="1" x14ac:dyDescent="0.2">
      <c r="A15" s="163" t="s">
        <v>80</v>
      </c>
      <c r="B15" s="120"/>
      <c r="C15" s="120">
        <f>Verkaufsgewicht_Kälber</f>
        <v>80</v>
      </c>
      <c r="D15" s="120" t="s">
        <v>81</v>
      </c>
      <c r="E15" s="120"/>
      <c r="F15" s="120"/>
      <c r="G15" s="164"/>
      <c r="H15" s="165"/>
    </row>
    <row r="16" spans="1:10" x14ac:dyDescent="0.2">
      <c r="A16" s="166" t="s">
        <v>117</v>
      </c>
      <c r="B16" s="167"/>
      <c r="C16" s="5">
        <v>400</v>
      </c>
      <c r="D16" s="167"/>
      <c r="E16" s="167"/>
      <c r="F16" s="168"/>
      <c r="G16" s="164"/>
      <c r="H16" s="165"/>
    </row>
    <row r="17" spans="1:8" x14ac:dyDescent="0.2">
      <c r="A17" s="289" t="s">
        <v>103</v>
      </c>
      <c r="B17" s="290"/>
      <c r="C17" s="5">
        <v>0</v>
      </c>
      <c r="D17" s="167" t="s">
        <v>82</v>
      </c>
      <c r="E17" s="14">
        <v>0.5</v>
      </c>
      <c r="F17" s="168">
        <f>E17*C17</f>
        <v>0</v>
      </c>
      <c r="G17" s="164"/>
      <c r="H17" s="165"/>
    </row>
    <row r="18" spans="1:8" ht="13.5" thickBot="1" x14ac:dyDescent="0.25">
      <c r="A18" s="166" t="s">
        <v>118</v>
      </c>
      <c r="B18" s="167"/>
      <c r="C18" s="167"/>
      <c r="D18" s="167"/>
      <c r="E18" s="167"/>
      <c r="F18" s="14">
        <v>12</v>
      </c>
      <c r="G18" s="164"/>
      <c r="H18" s="165"/>
    </row>
    <row r="19" spans="1:8" ht="13.5" thickBot="1" x14ac:dyDescent="0.25">
      <c r="A19" s="169" t="s">
        <v>83</v>
      </c>
      <c r="B19" s="147"/>
      <c r="C19" s="147"/>
      <c r="D19" s="147"/>
      <c r="E19" s="147"/>
      <c r="F19" s="147"/>
      <c r="G19" s="170">
        <f>VarKosten_Verfütterungsmilch+Kälberaufzuchtfutter+Tierarztpauschale</f>
        <v>12</v>
      </c>
      <c r="H19" s="165"/>
    </row>
    <row r="20" spans="1:8" ht="13.5" thickBot="1" x14ac:dyDescent="0.25">
      <c r="A20" s="171" t="s">
        <v>116</v>
      </c>
      <c r="B20" s="164"/>
      <c r="C20" s="164"/>
      <c r="D20" s="164"/>
      <c r="E20" s="164"/>
      <c r="F20" s="120">
        <f>AnzK</f>
        <v>7.2</v>
      </c>
      <c r="G20" s="172">
        <f>Kälberaufzuchtkosten_mit_VM*F20</f>
        <v>86.4</v>
      </c>
      <c r="H20" s="165"/>
    </row>
    <row r="21" spans="1:8" ht="13.5" thickBot="1" x14ac:dyDescent="0.25">
      <c r="A21" s="173"/>
      <c r="B21" s="174"/>
      <c r="C21" s="174"/>
      <c r="D21" s="174"/>
      <c r="E21" s="174"/>
      <c r="F21" s="174"/>
      <c r="G21" s="174"/>
      <c r="H21" s="175"/>
    </row>
    <row r="22" spans="1:8" ht="14.25" thickTop="1" thickBot="1" x14ac:dyDescent="0.25">
      <c r="F22" s="62"/>
      <c r="G22" s="55"/>
    </row>
    <row r="23" spans="1:8" ht="19.5" thickTop="1" thickBot="1" x14ac:dyDescent="0.3">
      <c r="A23" s="217" t="s">
        <v>162</v>
      </c>
      <c r="B23" s="223"/>
      <c r="C23" s="223"/>
      <c r="D23" s="223"/>
      <c r="E23" s="223"/>
      <c r="F23" s="224"/>
      <c r="G23" s="214" t="str">
        <f>CONCATENATE(Erstkalbealter, " Mo Erstkalbealter")</f>
        <v>27 Mo Erstkalbealter</v>
      </c>
      <c r="H23" s="225"/>
    </row>
    <row r="24" spans="1:8" ht="13.5" thickTop="1" x14ac:dyDescent="0.2">
      <c r="A24" s="218" t="s">
        <v>107</v>
      </c>
      <c r="B24" s="219">
        <v>400</v>
      </c>
      <c r="C24" s="220" t="s">
        <v>125</v>
      </c>
      <c r="D24" s="221">
        <v>0.5</v>
      </c>
      <c r="E24" s="222">
        <f>B24*D24</f>
        <v>200</v>
      </c>
      <c r="F24" s="176"/>
      <c r="G24" s="176"/>
      <c r="H24" s="177"/>
    </row>
    <row r="25" spans="1:8" x14ac:dyDescent="0.2">
      <c r="A25" s="280" t="s">
        <v>126</v>
      </c>
      <c r="B25" s="281"/>
      <c r="C25" s="167" t="s">
        <v>125</v>
      </c>
      <c r="D25" s="17">
        <v>150</v>
      </c>
      <c r="E25" s="178">
        <f>D25</f>
        <v>150</v>
      </c>
      <c r="F25" s="176"/>
      <c r="G25" s="176"/>
      <c r="H25" s="177"/>
    </row>
    <row r="26" spans="1:8" x14ac:dyDescent="0.2">
      <c r="A26" s="280" t="s">
        <v>127</v>
      </c>
      <c r="B26" s="281"/>
      <c r="C26" s="167" t="s">
        <v>125</v>
      </c>
      <c r="D26" s="17">
        <v>50</v>
      </c>
      <c r="E26" s="178">
        <f>D26</f>
        <v>50</v>
      </c>
      <c r="F26" s="176"/>
      <c r="G26" s="176"/>
      <c r="H26" s="177"/>
    </row>
    <row r="27" spans="1:8" x14ac:dyDescent="0.2">
      <c r="A27" s="280" t="s">
        <v>93</v>
      </c>
      <c r="B27" s="281"/>
      <c r="C27" s="167" t="s">
        <v>125</v>
      </c>
      <c r="D27" s="17">
        <v>170</v>
      </c>
      <c r="E27" s="178">
        <f>D27</f>
        <v>170</v>
      </c>
      <c r="F27" s="176"/>
      <c r="G27" s="176"/>
      <c r="H27" s="177"/>
    </row>
    <row r="28" spans="1:8" ht="13.5" thickBot="1" x14ac:dyDescent="0.25">
      <c r="A28" s="284" t="s">
        <v>30</v>
      </c>
      <c r="B28" s="285"/>
      <c r="C28" s="179" t="s">
        <v>125</v>
      </c>
      <c r="D28" s="18">
        <v>50</v>
      </c>
      <c r="E28" s="180">
        <f>D28</f>
        <v>50</v>
      </c>
      <c r="F28" s="176"/>
      <c r="G28" s="176"/>
      <c r="H28" s="177"/>
    </row>
    <row r="29" spans="1:8" ht="13.5" thickBot="1" x14ac:dyDescent="0.25">
      <c r="A29" s="181" t="s">
        <v>132</v>
      </c>
      <c r="B29" s="182"/>
      <c r="C29" s="182"/>
      <c r="D29" s="196"/>
      <c r="E29" s="183"/>
      <c r="F29" s="170">
        <f>SUM(E24:E28)</f>
        <v>620</v>
      </c>
      <c r="G29" s="176"/>
      <c r="H29" s="177"/>
    </row>
    <row r="30" spans="1:8" ht="13.5" thickBot="1" x14ac:dyDescent="0.25">
      <c r="A30" s="173" t="s">
        <v>128</v>
      </c>
      <c r="B30" s="173"/>
      <c r="C30" s="173"/>
      <c r="D30" s="173"/>
      <c r="E30" s="184">
        <f>Anz_Eigennachzucht+Anz_Verkaufskalbinnen</f>
        <v>1.6</v>
      </c>
      <c r="F30" s="185">
        <f>F29*E30</f>
        <v>992</v>
      </c>
      <c r="G30" s="186"/>
      <c r="H30" s="187"/>
    </row>
    <row r="31" spans="1:8" ht="14.25" thickTop="1" thickBot="1" x14ac:dyDescent="0.25"/>
    <row r="32" spans="1:8" ht="19.5" thickTop="1" thickBot="1" x14ac:dyDescent="0.3">
      <c r="A32" s="286" t="s">
        <v>143</v>
      </c>
      <c r="B32" s="287"/>
      <c r="C32" s="287"/>
      <c r="D32" s="287"/>
      <c r="E32" s="287"/>
      <c r="F32" s="287"/>
      <c r="G32" s="287"/>
      <c r="H32" s="288"/>
    </row>
    <row r="33" spans="1:10" ht="13.5" thickTop="1" x14ac:dyDescent="0.2">
      <c r="A33" s="163" t="s">
        <v>84</v>
      </c>
      <c r="B33" s="120"/>
      <c r="C33" s="120"/>
      <c r="D33" s="120"/>
      <c r="E33" s="120"/>
      <c r="F33" s="120"/>
      <c r="G33" s="188"/>
      <c r="H33" s="151"/>
    </row>
    <row r="34" spans="1:10" x14ac:dyDescent="0.2">
      <c r="A34" s="189"/>
      <c r="B34" s="167" t="s">
        <v>85</v>
      </c>
      <c r="C34" s="167"/>
      <c r="D34" s="167"/>
      <c r="E34" s="167"/>
      <c r="F34" s="14">
        <v>250</v>
      </c>
      <c r="G34" s="188"/>
      <c r="H34" s="151"/>
    </row>
    <row r="35" spans="1:10" x14ac:dyDescent="0.2">
      <c r="A35" s="189"/>
      <c r="B35" s="167" t="s">
        <v>86</v>
      </c>
      <c r="C35" s="167"/>
      <c r="D35" s="167"/>
      <c r="E35" s="167"/>
      <c r="F35" s="14">
        <v>300</v>
      </c>
      <c r="G35" s="188"/>
      <c r="H35" s="151"/>
    </row>
    <row r="36" spans="1:10" x14ac:dyDescent="0.2">
      <c r="A36" s="189"/>
      <c r="B36" s="167" t="s">
        <v>87</v>
      </c>
      <c r="C36" s="167"/>
      <c r="D36" s="167"/>
      <c r="E36" s="167"/>
      <c r="F36" s="14">
        <v>300</v>
      </c>
      <c r="G36" s="188"/>
      <c r="H36" s="151"/>
    </row>
    <row r="37" spans="1:10" x14ac:dyDescent="0.2">
      <c r="A37" s="189"/>
      <c r="B37" s="167" t="s">
        <v>88</v>
      </c>
      <c r="C37" s="167"/>
      <c r="D37" s="167"/>
      <c r="E37" s="167"/>
      <c r="F37" s="14">
        <v>70</v>
      </c>
      <c r="G37" s="188"/>
      <c r="H37" s="151"/>
    </row>
    <row r="38" spans="1:10" ht="13.5" thickBot="1" x14ac:dyDescent="0.25">
      <c r="A38" s="189"/>
      <c r="B38" s="190" t="s">
        <v>30</v>
      </c>
      <c r="C38" s="167"/>
      <c r="D38" s="167"/>
      <c r="E38" s="167"/>
      <c r="F38" s="14">
        <v>0</v>
      </c>
      <c r="G38" s="188"/>
      <c r="H38" s="151"/>
    </row>
    <row r="39" spans="1:10" ht="13.5" thickBot="1" x14ac:dyDescent="0.25">
      <c r="A39" s="189"/>
      <c r="B39" s="64" t="s">
        <v>40</v>
      </c>
      <c r="C39" s="147"/>
      <c r="D39" s="147"/>
      <c r="E39" s="147"/>
      <c r="F39" s="147"/>
      <c r="G39" s="170">
        <f>SUM(F34:F38)</f>
        <v>920</v>
      </c>
      <c r="H39" s="151"/>
      <c r="J39" s="191"/>
    </row>
    <row r="40" spans="1:10" ht="13.5" thickBot="1" x14ac:dyDescent="0.25">
      <c r="A40" s="192"/>
      <c r="B40" s="193"/>
      <c r="C40" s="193"/>
      <c r="D40" s="193"/>
      <c r="E40" s="193"/>
      <c r="F40" s="193"/>
      <c r="G40" s="193"/>
      <c r="H40" s="194"/>
    </row>
    <row r="41" spans="1:10" ht="14.25" thickTop="1" thickBot="1" x14ac:dyDescent="0.25"/>
    <row r="42" spans="1:10" ht="19.5" thickTop="1" thickBot="1" x14ac:dyDescent="0.3">
      <c r="A42" s="286" t="s">
        <v>144</v>
      </c>
      <c r="B42" s="287"/>
      <c r="C42" s="287"/>
      <c r="D42" s="287"/>
      <c r="E42" s="287"/>
      <c r="F42" s="287"/>
      <c r="G42" s="287"/>
      <c r="H42" s="288"/>
    </row>
    <row r="43" spans="1:10" ht="13.5" thickTop="1" x14ac:dyDescent="0.2">
      <c r="A43" s="163" t="s">
        <v>119</v>
      </c>
      <c r="B43" s="120"/>
      <c r="C43" s="164"/>
      <c r="D43" s="164"/>
      <c r="E43" s="164"/>
      <c r="F43" s="164"/>
      <c r="G43" s="164"/>
      <c r="H43" s="165"/>
    </row>
    <row r="44" spans="1:10" x14ac:dyDescent="0.2">
      <c r="A44" s="166" t="s">
        <v>89</v>
      </c>
      <c r="B44" s="167"/>
      <c r="C44" s="167"/>
      <c r="D44" s="167"/>
      <c r="E44" s="167"/>
      <c r="F44" s="14">
        <v>360</v>
      </c>
      <c r="G44" s="164"/>
      <c r="H44" s="165"/>
    </row>
    <row r="45" spans="1:10" x14ac:dyDescent="0.2">
      <c r="A45" s="166" t="s">
        <v>90</v>
      </c>
      <c r="B45" s="167" t="s">
        <v>159</v>
      </c>
      <c r="C45" s="5">
        <v>1.3</v>
      </c>
      <c r="D45" s="167" t="s">
        <v>91</v>
      </c>
      <c r="E45" s="14">
        <v>40</v>
      </c>
      <c r="F45" s="168">
        <f>E45*C45*Anz_Kühe</f>
        <v>416</v>
      </c>
      <c r="G45" s="164"/>
      <c r="H45" s="165"/>
    </row>
    <row r="46" spans="1:10" x14ac:dyDescent="0.2">
      <c r="A46" s="166" t="s">
        <v>92</v>
      </c>
      <c r="B46" s="167"/>
      <c r="C46" s="167"/>
      <c r="D46" s="167"/>
      <c r="E46" s="167"/>
      <c r="F46" s="14">
        <v>250</v>
      </c>
      <c r="G46" s="164"/>
      <c r="H46" s="165"/>
    </row>
    <row r="47" spans="1:10" x14ac:dyDescent="0.2">
      <c r="A47" s="166" t="s">
        <v>93</v>
      </c>
      <c r="B47" s="167"/>
      <c r="C47" s="5">
        <v>16</v>
      </c>
      <c r="D47" s="167" t="s">
        <v>94</v>
      </c>
      <c r="E47" s="14">
        <v>0.13</v>
      </c>
      <c r="F47" s="168">
        <f>C47*E47*365</f>
        <v>759.2</v>
      </c>
      <c r="G47" s="164"/>
      <c r="H47" s="165"/>
    </row>
    <row r="48" spans="1:10" ht="13.5" thickBot="1" x14ac:dyDescent="0.25">
      <c r="A48" s="166" t="s">
        <v>145</v>
      </c>
      <c r="B48" s="167"/>
      <c r="C48" s="167"/>
      <c r="D48" s="167"/>
      <c r="E48" s="167"/>
      <c r="F48" s="209">
        <v>450</v>
      </c>
      <c r="G48" s="164"/>
      <c r="H48" s="165"/>
    </row>
    <row r="49" spans="1:8" ht="13.5" thickBot="1" x14ac:dyDescent="0.25">
      <c r="A49" s="169" t="s">
        <v>40</v>
      </c>
      <c r="B49" s="147"/>
      <c r="C49" s="147"/>
      <c r="D49" s="147"/>
      <c r="E49" s="147"/>
      <c r="F49" s="147"/>
      <c r="G49" s="195">
        <f>SUM(F44:F48)</f>
        <v>2235.1999999999998</v>
      </c>
      <c r="H49" s="165"/>
    </row>
    <row r="50" spans="1:8" ht="13.5" thickBot="1" x14ac:dyDescent="0.25">
      <c r="A50" s="173"/>
      <c r="B50" s="174"/>
      <c r="C50" s="174"/>
      <c r="D50" s="174"/>
      <c r="E50" s="174"/>
      <c r="F50" s="174"/>
      <c r="G50" s="174"/>
      <c r="H50" s="175"/>
    </row>
    <row r="51" spans="1:8" ht="13.5" thickTop="1" x14ac:dyDescent="0.2"/>
  </sheetData>
  <sheetProtection sheet="1" objects="1" scenarios="1"/>
  <mergeCells count="14">
    <mergeCell ref="A27:B27"/>
    <mergeCell ref="A1:D1"/>
    <mergeCell ref="A28:B28"/>
    <mergeCell ref="A42:H42"/>
    <mergeCell ref="A14:H14"/>
    <mergeCell ref="A32:H32"/>
    <mergeCell ref="A17:B17"/>
    <mergeCell ref="C5:D5"/>
    <mergeCell ref="C7:D7"/>
    <mergeCell ref="C8:D8"/>
    <mergeCell ref="A25:B25"/>
    <mergeCell ref="A26:B26"/>
    <mergeCell ref="A6:B6"/>
    <mergeCell ref="A10:C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portrait" horizontalDpi="4294967295" verticalDpi="4294967295" r:id="rId1"/>
  <headerFooter alignWithMargins="0">
    <oddFooter>&amp;L&amp;F
Detailkalkulationen&amp;C&amp;D&amp;R&amp;P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60</vt:i4>
      </vt:variant>
    </vt:vector>
  </HeadingPairs>
  <TitlesOfParts>
    <vt:vector size="73" baseType="lpstr">
      <vt:lpstr>Komb_MVH-DB und PROKORE</vt:lpstr>
      <vt:lpstr>Detailkalkulationen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Abkalbequote</vt:lpstr>
      <vt:lpstr>Akh_pro_Kuh</vt:lpstr>
      <vt:lpstr>Akh_pro_Kuh_incl_Futterwerbung</vt:lpstr>
      <vt:lpstr>Altkuherlös</vt:lpstr>
      <vt:lpstr>Altkuhgewicht</vt:lpstr>
      <vt:lpstr>Altkuhpreis</vt:lpstr>
      <vt:lpstr>Anz_Eigennachzucht</vt:lpstr>
      <vt:lpstr>Anz_Jungvieh</vt:lpstr>
      <vt:lpstr>Anz_Kühe</vt:lpstr>
      <vt:lpstr>Anz_Verkaufskalbinnen</vt:lpstr>
      <vt:lpstr>Anz_Zukaufskalbinnen</vt:lpstr>
      <vt:lpstr>AnzK</vt:lpstr>
      <vt:lpstr>BE_Zukauf</vt:lpstr>
      <vt:lpstr>Bedarf_ha_Hauptfutterfläche</vt:lpstr>
      <vt:lpstr>Bedarf_pro_Jahr</vt:lpstr>
      <vt:lpstr>Bestandesergänzung</vt:lpstr>
      <vt:lpstr>DB_pro_Akh</vt:lpstr>
      <vt:lpstr>DB_pro_Akh_incl_Futterwerbung</vt:lpstr>
      <vt:lpstr>DB_pro_Einheit</vt:lpstr>
      <vt:lpstr>Detail_Futter</vt:lpstr>
      <vt:lpstr>Detail_Kälberaufzucht</vt:lpstr>
      <vt:lpstr>Detail_Milchgewinnung</vt:lpstr>
      <vt:lpstr>Detail_sonstige_Kosten</vt:lpstr>
      <vt:lpstr>Detailkalkulationen!Druckbereich</vt:lpstr>
      <vt:lpstr>Erstkalbealter</vt:lpstr>
      <vt:lpstr>Erstkalbealter_Mo</vt:lpstr>
      <vt:lpstr>Gesamtgemelk</vt:lpstr>
      <vt:lpstr>Grundfutterkosten</vt:lpstr>
      <vt:lpstr>Kälber_w</vt:lpstr>
      <vt:lpstr>Kälberaufzuchtfutter</vt:lpstr>
      <vt:lpstr>Kälberaufzuchtkosten</vt:lpstr>
      <vt:lpstr>Kälberaufzuchtkosten_mit_VM</vt:lpstr>
      <vt:lpstr>Kälberaufzuchtkosten_ohne_VM</vt:lpstr>
      <vt:lpstr>Kälbererlös_m</vt:lpstr>
      <vt:lpstr>Kälbererlös_w</vt:lpstr>
      <vt:lpstr>Kälberpreis_m</vt:lpstr>
      <vt:lpstr>Kälberpreis_w</vt:lpstr>
      <vt:lpstr>Kalbinnenerlös</vt:lpstr>
      <vt:lpstr>kalbinnenpreis</vt:lpstr>
      <vt:lpstr>Kraftfutterkosten</vt:lpstr>
      <vt:lpstr>Lohnanspruch_gesamt</vt:lpstr>
      <vt:lpstr>Lohnanspruch_pro_Akh</vt:lpstr>
      <vt:lpstr>Marktleistung</vt:lpstr>
      <vt:lpstr>Milcherlös</vt:lpstr>
      <vt:lpstr>Milchpreis</vt:lpstr>
      <vt:lpstr>Nutzungsdauer</vt:lpstr>
      <vt:lpstr>P</vt:lpstr>
      <vt:lpstr>Rohertrag</vt:lpstr>
      <vt:lpstr>Tierarztpauschale</vt:lpstr>
      <vt:lpstr>Variable_Kosten_Vollmilch</vt:lpstr>
      <vt:lpstr>VarK_VM</vt:lpstr>
      <vt:lpstr>VarKosten_Milchgewinnung</vt:lpstr>
      <vt:lpstr>VarKosten_mit_VM</vt:lpstr>
      <vt:lpstr>VarKosten_ohne_VM</vt:lpstr>
      <vt:lpstr>VarKosten_Sonstiges</vt:lpstr>
      <vt:lpstr>VarKosten_Verfütterungsmilch</vt:lpstr>
      <vt:lpstr>Verkaufsgewicht_Kälber</vt:lpstr>
      <vt:lpstr>Verkaufskalbinnenerlös</vt:lpstr>
      <vt:lpstr>Vollmilchbedarf</vt:lpstr>
      <vt:lpstr>Zinssatz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 Weitau/St.Johann</dc:creator>
  <cp:lastModifiedBy>Schule</cp:lastModifiedBy>
  <cp:lastPrinted>2016-03-14T05:49:01Z</cp:lastPrinted>
  <dcterms:created xsi:type="dcterms:W3CDTF">2001-06-10T10:43:11Z</dcterms:created>
  <dcterms:modified xsi:type="dcterms:W3CDTF">2017-03-16T19:53:12Z</dcterms:modified>
</cp:coreProperties>
</file>