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05" activeTab="0"/>
  </bookViews>
  <sheets>
    <sheet name="SMVH-DB und PROKORE" sheetId="1" r:id="rId1"/>
    <sheet name="Detailkalkulationen" sheetId="2" r:id="rId2"/>
    <sheet name="Tabelle6" sheetId="3" r:id="rId3"/>
    <sheet name="Tabelle7" sheetId="4" r:id="rId4"/>
    <sheet name="Tabelle8" sheetId="5" r:id="rId5"/>
    <sheet name="Tabelle9" sheetId="6" r:id="rId6"/>
    <sheet name="Tabelle10" sheetId="7" r:id="rId7"/>
    <sheet name="Tabelle11" sheetId="8" r:id="rId8"/>
    <sheet name="Tabelle12" sheetId="9" r:id="rId9"/>
    <sheet name="Tabelle13" sheetId="10" r:id="rId10"/>
    <sheet name="Tabelle14" sheetId="11" r:id="rId11"/>
    <sheet name="Tabelle15" sheetId="12" r:id="rId12"/>
    <sheet name="Tabelle16" sheetId="13" r:id="rId13"/>
  </sheets>
  <definedNames>
    <definedName name="Abkalbequote">'SMVH-DB und PROKORE'!$D$25</definedName>
    <definedName name="Akh_pro_Kuh">'SMVH-DB und PROKORE'!$D$58</definedName>
    <definedName name="Akh_pro_Kuh_incl_Futterwerbung">'SMVH-DB und PROKORE'!$D$59</definedName>
    <definedName name="Altkuherlös">'SMVH-DB und PROKORE'!$E$39</definedName>
    <definedName name="Altkuhgewicht">'SMVH-DB und PROKORE'!$D$29</definedName>
    <definedName name="Altkuhpreis">'SMVH-DB und PROKORE'!$D$30</definedName>
    <definedName name="AnzK">'SMVH-DB und PROKORE'!$D$27</definedName>
    <definedName name="Bedarf_ha_Hauptfutterfläche">'Detailkalkulationen'!$D$9</definedName>
    <definedName name="Bedarf_pro_Jahr">'SMVH-DB und PROKORE'!$C$47</definedName>
    <definedName name="Bestandesergänzung">'SMVH-DB und PROKORE'!$E$47</definedName>
    <definedName name="DB_pro_Akh">'SMVH-DB und PROKORE'!$E$58</definedName>
    <definedName name="DB_pro_Akh_incl_Futterwerbung">'SMVH-DB und PROKORE'!$E$59</definedName>
    <definedName name="DB_pro_Einheit">'SMVH-DB und PROKORE'!$E$57</definedName>
    <definedName name="DB_pro_ha_HF">'SMVH-DB und PROKORE'!#REF!</definedName>
    <definedName name="Detail_Förderungen">'Detailkalkulationen'!#REF!</definedName>
    <definedName name="Detail_Futter">'Detailkalkulationen'!$A$4</definedName>
    <definedName name="Detail_Kälberaufzucht">'Detailkalkulationen'!$A$14</definedName>
    <definedName name="Detail_Milchgewinnung">'Detailkalkulationen'!$A$23</definedName>
    <definedName name="Detail_sonstige_Kosten">'Detailkalkulationen'!$A$32</definedName>
    <definedName name="_xlnm.Print_Area" localSheetId="1">'Detailkalkulationen'!$A$1:$H$41</definedName>
    <definedName name="Gesamtgemelk">'SMVH-DB und PROKORE'!$D$22</definedName>
    <definedName name="Grundfutterkosten">'Detailkalkulationen'!$G$9</definedName>
    <definedName name="Kälberaufzuchtfutter">'Detailkalkulationen'!$F$17</definedName>
    <definedName name="Kälberaufzuchtkosten">'Detailkalkulationen'!$G$20</definedName>
    <definedName name="Kälberaufzuchtkosten_mit_VM">'Detailkalkulationen'!$G$19</definedName>
    <definedName name="Kälberaufzuchtkosten_ohne_VM">'Detailkalkulationen'!$G$20</definedName>
    <definedName name="Kälbererlös_m">'SMVH-DB und PROKORE'!$E$40</definedName>
    <definedName name="Kälbererlös_w">'SMVH-DB und PROKORE'!$E$41</definedName>
    <definedName name="Kälberpreis_m">'SMVH-DB und PROKORE'!$D$32</definedName>
    <definedName name="Kälberpreis_w">'SMVH-DB und PROKORE'!$D$33</definedName>
    <definedName name="kalbinnenpreis">'SMVH-DB und PROKORE'!$D$34</definedName>
    <definedName name="Kraftfutterkosten">'Detailkalkulationen'!$G$10</definedName>
    <definedName name="Lohnanspruch_gesamt">'SMVH-DB und PROKORE'!$G$105</definedName>
    <definedName name="Lohnanspruch_pro_Akh">'SMVH-DB und PROKORE'!$C$97</definedName>
    <definedName name="Marktleistung">'SMVH-DB und PROKORE'!$D$23</definedName>
    <definedName name="Milcherlös">'SMVH-DB und PROKORE'!$E$38</definedName>
    <definedName name="Milchpreis">'SMVH-DB und PROKORE'!$D$28</definedName>
    <definedName name="Nutzungsdauer">'SMVH-DB und PROKORE'!$D$24</definedName>
    <definedName name="P">'SMVH-DB und PROKORE'!$D$69</definedName>
    <definedName name="Rohertrag">'SMVH-DB und PROKORE'!$F$43</definedName>
    <definedName name="sonstiges">'SMVH-DB und PROKORE'!$E$42</definedName>
    <definedName name="Tierarztpauschale">'Detailkalkulationen'!$F$18</definedName>
    <definedName name="Variable_Kosten_Vollmilch">'Detailkalkulationen'!$E$16</definedName>
    <definedName name="VarK_VM">'SMVH-DB und PROKORE'!$G$54</definedName>
    <definedName name="VarKosten_Milchgewinnung">'Detailkalkulationen'!$G$29</definedName>
    <definedName name="VarKosten_mit_VM">'SMVH-DB und PROKORE'!$F$53</definedName>
    <definedName name="VarKosten_ohne_VM">'SMVH-DB und PROKORE'!$E$53</definedName>
    <definedName name="VarKosten_Sonstiges">'Detailkalkulationen'!$G$39</definedName>
    <definedName name="VarKosten_Verfütterungsmilch">'Detailkalkulationen'!$F$16</definedName>
    <definedName name="Verkaufsgewicht_Kälber">'SMVH-DB und PROKORE'!$D$31</definedName>
    <definedName name="Verzinsung_Bestandesergänzung">'SMVH-DB und PROKORE'!#REF!</definedName>
    <definedName name="Vollmilchbedarf">'Detailkalkulationen'!$C$16</definedName>
    <definedName name="Zinssatz">'SMVH-DB und PROKORE'!$D$35</definedName>
  </definedNames>
  <calcPr fullCalcOnLoad="1"/>
</workbook>
</file>

<file path=xl/comments1.xml><?xml version="1.0" encoding="utf-8"?>
<comments xmlns="http://schemas.openxmlformats.org/spreadsheetml/2006/main">
  <authors>
    <author>he</author>
  </authors>
  <commentList>
    <comment ref="D103" authorId="0">
      <text>
        <r>
          <rPr>
            <b/>
            <sz val="8"/>
            <rFont val="Tahoma"/>
            <family val="2"/>
          </rPr>
          <t>aus
Verfahrenskosten_Bsp.xls</t>
        </r>
      </text>
    </comment>
    <comment ref="B108" authorId="0">
      <text>
        <r>
          <rPr>
            <b/>
            <sz val="12"/>
            <rFont val="Tahoma"/>
            <family val="2"/>
          </rPr>
          <t>Standplatz + Futterlager + Düngerlager</t>
        </r>
      </text>
    </comment>
    <comment ref="A4" authorId="0">
      <text>
        <r>
          <rPr>
            <b/>
            <sz val="12"/>
            <rFont val="Tahoma"/>
            <family val="2"/>
          </rPr>
          <t>zu finden bei http://blrw.twoday.net/</t>
        </r>
      </text>
    </comment>
    <comment ref="E119" authorId="0">
      <text>
        <r>
          <rPr>
            <b/>
            <sz val="8"/>
            <rFont val="Tahoma"/>
            <family val="2"/>
          </rPr>
          <t>aus
Verfahrenskosten_Bsp.xls</t>
        </r>
      </text>
    </comment>
  </commentList>
</comments>
</file>

<file path=xl/comments2.xml><?xml version="1.0" encoding="utf-8"?>
<comments xmlns="http://schemas.openxmlformats.org/spreadsheetml/2006/main">
  <authors>
    <author>he</author>
  </authors>
  <commentList>
    <comment ref="C16" authorId="0">
      <text>
        <r>
          <rPr>
            <b/>
            <sz val="8"/>
            <rFont val="Tahoma"/>
            <family val="2"/>
          </rPr>
          <t>Vollmilchbedarf: Futtermilch für alle Kälber
ca. 10 l pro kg Zunahme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Zukaufskosten </t>
        </r>
      </text>
    </comment>
    <comment ref="B7" authorId="0">
      <text>
        <r>
          <rPr>
            <b/>
            <sz val="8"/>
            <rFont val="Tahoma"/>
            <family val="2"/>
          </rPr>
          <t>Kraftfutter für alle Kühe pro Jahr in kg</t>
        </r>
      </text>
    </comment>
    <comment ref="B8" authorId="0">
      <text>
        <r>
          <rPr>
            <b/>
            <sz val="8"/>
            <rFont val="Tahoma"/>
            <family val="2"/>
          </rPr>
          <t>Mineralstofffuttermenge für alle Kühe pro Jahr in kg</t>
        </r>
      </text>
    </comment>
    <comment ref="E7" authorId="0">
      <text>
        <r>
          <rPr>
            <b/>
            <sz val="8"/>
            <rFont val="Tahoma"/>
            <family val="2"/>
          </rPr>
          <t>Zukaufskosten</t>
        </r>
      </text>
    </comment>
    <comment ref="F38" authorId="0">
      <text>
        <r>
          <rPr>
            <b/>
            <sz val="8"/>
            <rFont val="Tahoma"/>
            <family val="2"/>
          </rPr>
          <t>incl. "Sonstiges" aus Verfahrenskosten_Bsp.xls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variable Spezialkosten aus Arbeitsverfahren der Aussenwirtschaft </t>
        </r>
      </text>
    </comment>
  </commentList>
</comments>
</file>

<file path=xl/sharedStrings.xml><?xml version="1.0" encoding="utf-8"?>
<sst xmlns="http://schemas.openxmlformats.org/spreadsheetml/2006/main" count="186" uniqueCount="153">
  <si>
    <t>Biobetrieb</t>
  </si>
  <si>
    <t xml:space="preserve">Spezialisierte Milchviehhaltung: </t>
  </si>
  <si>
    <t>keine Nachzucht, Verkauf der anfallenden Kälber mit 80 kg LG</t>
  </si>
  <si>
    <t>Ersatz von Altkühen durch Zukauf trächtiger Kalbinnen</t>
  </si>
  <si>
    <t>Betriebsgröße:</t>
  </si>
  <si>
    <t>Kühe</t>
  </si>
  <si>
    <t>ha förderbares Grünland</t>
  </si>
  <si>
    <t>Fütterung:</t>
  </si>
  <si>
    <t>Haltung:</t>
  </si>
  <si>
    <t>Spezialisierte Milchviehhaltung</t>
  </si>
  <si>
    <t>Kalkulationsgrundlagen:</t>
  </si>
  <si>
    <t>kg</t>
  </si>
  <si>
    <t>Nutzungsdauer Kuh</t>
  </si>
  <si>
    <t>Jahre</t>
  </si>
  <si>
    <t>Abkalbequote</t>
  </si>
  <si>
    <t>Kälber</t>
  </si>
  <si>
    <t>Milchpreis</t>
  </si>
  <si>
    <t>Altkuhgewicht</t>
  </si>
  <si>
    <t>Altkuhpreis</t>
  </si>
  <si>
    <t>Kälberpreis männlich</t>
  </si>
  <si>
    <t>Kälberpreis weiblich</t>
  </si>
  <si>
    <t>trächtige Kalbin (Zukauf)</t>
  </si>
  <si>
    <t>Zinssatz</t>
  </si>
  <si>
    <t>%</t>
  </si>
  <si>
    <t>Milcherlös</t>
  </si>
  <si>
    <t>Altkuherlös</t>
  </si>
  <si>
    <t>Kälbererlös männlich</t>
  </si>
  <si>
    <t>Kälbererlös weiblich</t>
  </si>
  <si>
    <t>Variable Spezialkosten</t>
  </si>
  <si>
    <t>Bestandesergänzung</t>
  </si>
  <si>
    <t>Kalbinnen</t>
  </si>
  <si>
    <t>Verzinsung</t>
  </si>
  <si>
    <t>Futterkosten:</t>
  </si>
  <si>
    <t>Grundfutter</t>
  </si>
  <si>
    <t>Kälberaufzuchtkosten</t>
  </si>
  <si>
    <t>Maschinen- und Energiekosten</t>
  </si>
  <si>
    <t>Sonstiges</t>
  </si>
  <si>
    <t>ohne VM</t>
  </si>
  <si>
    <t>Variable Spezialkosten pro kg Vollmilch</t>
  </si>
  <si>
    <t>Deckungsbeiträge</t>
  </si>
  <si>
    <t>DB pro Einheit</t>
  </si>
  <si>
    <t>DB pro Akh</t>
  </si>
  <si>
    <t>DB pro Akh (incl. Futterwerbung)</t>
  </si>
  <si>
    <t>Aufschlüsselung der Variablen Spezialkosten</t>
  </si>
  <si>
    <t>KF, Min.Stoffe</t>
  </si>
  <si>
    <t>Kälberaufzucht</t>
  </si>
  <si>
    <t>Gesamt</t>
  </si>
  <si>
    <t>Ausbau der Deckungsbeitragsrechnung zur Vollkostenrechnung</t>
  </si>
  <si>
    <t>Lohnanspruch</t>
  </si>
  <si>
    <t>Arbeitszeitbedarf</t>
  </si>
  <si>
    <t>Tage</t>
  </si>
  <si>
    <t>zu je min</t>
  </si>
  <si>
    <t>Akh</t>
  </si>
  <si>
    <t>Winter</t>
  </si>
  <si>
    <t>Sommer</t>
  </si>
  <si>
    <t>Futterwerbung</t>
  </si>
  <si>
    <t>Fixkosten</t>
  </si>
  <si>
    <t>Gebäude</t>
  </si>
  <si>
    <t>Nutzungsdauer</t>
  </si>
  <si>
    <t>Feuervers.</t>
  </si>
  <si>
    <t>Instandhaltg.</t>
  </si>
  <si>
    <t>Fixkosten Gebäude</t>
  </si>
  <si>
    <t>Maschinen</t>
  </si>
  <si>
    <t>Milchgewinnung und -kühlung</t>
  </si>
  <si>
    <t>Fixkosten der Milchgewinnung und -kühlung</t>
  </si>
  <si>
    <t>Außenwirtschaft (Afa,Z,U+V)</t>
  </si>
  <si>
    <t>Gemeinkosten</t>
  </si>
  <si>
    <t>Betriebssteuern und Verwaltgskosten</t>
  </si>
  <si>
    <t>(incl. SV-Beiträge...)</t>
  </si>
  <si>
    <t>Schätzwert</t>
  </si>
  <si>
    <t>Produktionskostenrechnung</t>
  </si>
  <si>
    <t>Gesamtproduktionskosten</t>
  </si>
  <si>
    <t>abzüglich</t>
  </si>
  <si>
    <t>Kälbererlös</t>
  </si>
  <si>
    <t>Nettoproduktionskosten</t>
  </si>
  <si>
    <t>Effektiver Arbeitsverdienst</t>
  </si>
  <si>
    <t>Produktionskosten</t>
  </si>
  <si>
    <t>Differenz</t>
  </si>
  <si>
    <t>der Lohnanspruch von</t>
  </si>
  <si>
    <t>verändert sich um</t>
  </si>
  <si>
    <t>zu einem effektiven Arbeitsverdienst insgesamt pro Einheit auf</t>
  </si>
  <si>
    <t>oder</t>
  </si>
  <si>
    <t>pro Akh.</t>
  </si>
  <si>
    <t>Milchpreis:</t>
  </si>
  <si>
    <t>Arbeitsverdienst:</t>
  </si>
  <si>
    <t>Detailkalkulationen</t>
  </si>
  <si>
    <t>Grundfutterkosten</t>
  </si>
  <si>
    <t>Gesamtfutterkosten</t>
  </si>
  <si>
    <t>Kälberaufzuchtkosten bis</t>
  </si>
  <si>
    <t>kg LG</t>
  </si>
  <si>
    <t>kg zu</t>
  </si>
  <si>
    <t>Gesamtaufzuchtkosten für 1 Kalb</t>
  </si>
  <si>
    <t>Maschinen- und Energiekosten: Milchgewinnung und -kühlung</t>
  </si>
  <si>
    <t>Melkmaschine</t>
  </si>
  <si>
    <t>Milchkühler</t>
  </si>
  <si>
    <t>Waschautomat</t>
  </si>
  <si>
    <t>Beleuchtung</t>
  </si>
  <si>
    <t>Sonstige Kosten</t>
  </si>
  <si>
    <t>Tierarzt</t>
  </si>
  <si>
    <t>Besamung</t>
  </si>
  <si>
    <t>zu</t>
  </si>
  <si>
    <t>Verbands- und Kontrollgebühren</t>
  </si>
  <si>
    <t>Einstreu</t>
  </si>
  <si>
    <t>kg/Tag zu</t>
  </si>
  <si>
    <t>Diverses</t>
  </si>
  <si>
    <t>Einfüllfelder</t>
  </si>
  <si>
    <t>/kg</t>
  </si>
  <si>
    <t>Verkaufsgewicht Kälber</t>
  </si>
  <si>
    <t>Maschinen- und Energiekosten der Milchgewinnung und -kühlung</t>
  </si>
  <si>
    <t>vom Neuwert</t>
  </si>
  <si>
    <t>Pachtwert Boden</t>
  </si>
  <si>
    <t>Modellrechnung für den Unterrichtsgebrauch!</t>
  </si>
  <si>
    <t>bezogen auf 1 kg Milch</t>
  </si>
  <si>
    <t>Produktionsverfahren:</t>
  </si>
  <si>
    <t>Milchmarktleistung/Eigenverbrauch</t>
  </si>
  <si>
    <t>Viehtrieb/Alm...</t>
  </si>
  <si>
    <t>weitere Kälberfuttermittel</t>
  </si>
  <si>
    <t>/Akh</t>
  </si>
  <si>
    <t>Fragen?</t>
  </si>
  <si>
    <t>BHK-Punkte:</t>
  </si>
  <si>
    <t>Kraftfutter</t>
  </si>
  <si>
    <t>Mineralstoffe</t>
  </si>
  <si>
    <t>Zwischensumme</t>
  </si>
  <si>
    <t>Deckungsbeitrag und Vollkostenrechnung für 1 kg Milch
Spezialisierte Milchviehhaltung</t>
  </si>
  <si>
    <t>http://blrw.twoday.net/</t>
  </si>
  <si>
    <t>Heu, KF, MinSt…</t>
  </si>
  <si>
    <t>Anbindehaltung, Eimermelkanlage</t>
  </si>
  <si>
    <t xml:space="preserve"> </t>
  </si>
  <si>
    <t>kg insgesamt</t>
  </si>
  <si>
    <t>Milchleistung Betrieb</t>
  </si>
  <si>
    <t>Anzahl Kühe</t>
  </si>
  <si>
    <t>für alle Kühe und Jahr</t>
  </si>
  <si>
    <t>Gesamtaufzuchtkosten für alle Kälber</t>
  </si>
  <si>
    <t>Vollmilchbedarf für 1 Kalb</t>
  </si>
  <si>
    <t>Tierarztpauschalen für 1 Kalb</t>
  </si>
  <si>
    <t>Sonstige Kosten alle Kühe</t>
  </si>
  <si>
    <t>Gesamtarbeitszeit</t>
  </si>
  <si>
    <t>Akh in Außenwirtschaft</t>
  </si>
  <si>
    <t>insgesamt</t>
  </si>
  <si>
    <t>Pachtschätzwert Aussenflächen</t>
  </si>
  <si>
    <t>Kälberaufzuchtkosten für 1 Kalb</t>
  </si>
  <si>
    <t>setzt die Verwendung von "MK6a-Verfahrenskosten Zweischnittwiese BEISPIEL (.xls)" voraus</t>
  </si>
  <si>
    <t>vom halben NW</t>
  </si>
  <si>
    <t>Betriebslehre LLA-Weitau     H.Erber</t>
  </si>
  <si>
    <t>sonstiges</t>
  </si>
  <si>
    <t>Zukaufsfutter</t>
  </si>
  <si>
    <t>Zukaufsfutter insg.</t>
  </si>
  <si>
    <t>Zukaufsfutter insgesamt</t>
  </si>
  <si>
    <r>
      <rPr>
        <b/>
        <sz val="10"/>
        <rFont val="Verdana"/>
        <family val="2"/>
      </rPr>
      <t>HINWEIS</t>
    </r>
    <r>
      <rPr>
        <sz val="10"/>
        <rFont val="Verdana"/>
        <family val="2"/>
      </rPr>
      <t xml:space="preserve">: Diese Kalkulation versucht, den Teilbereich "Spezialisierte Milchviehhaltung" bestmöglich und mit eigenen Daten abzubilden zu können. Wie auch immer das Ergebnis aussieht - es bildet nur DIESE Aktivität ab und berücksichtigt noch nicht das Vorhandensein weiterer Betriebszweige, mögliche Förderungen, Neben- und Sozialeinkommen...
</t>
    </r>
  </si>
  <si>
    <t>Stall</t>
  </si>
  <si>
    <t>Milch-Marktleistung</t>
  </si>
  <si>
    <t>ver. 17.01</t>
  </si>
  <si>
    <t>Leistungen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</si>
</sst>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0.000"/>
    <numFmt numFmtId="170" formatCode="0.0%"/>
    <numFmt numFmtId="171" formatCode="0\ &quot;kg&quot;"/>
    <numFmt numFmtId="172" formatCode="_-* #,##0.00\ [$€]_-;\-* #,##0.00\ [$€]_-;_-* &quot;-&quot;??\ [$€]_-;_-@_-"/>
    <numFmt numFmtId="173" formatCode="#,##0.0_ ;\-#,##0.0\ "/>
    <numFmt numFmtId="174" formatCode="#,##0.00\ [$€-407]"/>
    <numFmt numFmtId="175" formatCode="#,##0.00\ [$€-40A];[Red]\-#,##0.00\ [$€-40A]"/>
  </numFmts>
  <fonts count="6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8"/>
      <name val="Tahom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b/>
      <sz val="12"/>
      <color indexed="9"/>
      <name val="Verdana"/>
      <family val="2"/>
    </font>
    <font>
      <b/>
      <u val="single"/>
      <sz val="9"/>
      <name val="Verdana"/>
      <family val="2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2"/>
      <name val="Tahoma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3"/>
      <name val="Verdana"/>
      <family val="2"/>
    </font>
    <font>
      <sz val="10"/>
      <color indexed="13"/>
      <name val="Verdana"/>
      <family val="2"/>
    </font>
    <font>
      <sz val="8"/>
      <color indexed="8"/>
      <name val="Verdana"/>
      <family val="2"/>
    </font>
    <font>
      <u val="single"/>
      <sz val="12"/>
      <color indexed="12"/>
      <name val="Arial"/>
      <family val="2"/>
    </font>
    <font>
      <b/>
      <sz val="8"/>
      <name val="Verdana"/>
      <family val="2"/>
    </font>
    <font>
      <b/>
      <sz val="9"/>
      <color indexed="13"/>
      <name val="Verdana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Verdana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7" fillId="28" borderId="0" applyNumberFormat="0" applyBorder="0" applyAlignment="0" applyProtection="0"/>
    <xf numFmtId="16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19" xfId="0" applyFont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4" fillId="35" borderId="0" xfId="0" applyFont="1" applyFill="1" applyAlignment="1">
      <alignment/>
    </xf>
    <xf numFmtId="1" fontId="9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" fontId="5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17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9" fillId="35" borderId="23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5" fillId="38" borderId="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0" fontId="5" fillId="38" borderId="30" xfId="0" applyFont="1" applyFill="1" applyBorder="1" applyAlignment="1">
      <alignment/>
    </xf>
    <xf numFmtId="0" fontId="5" fillId="38" borderId="31" xfId="0" applyFont="1" applyFill="1" applyBorder="1" applyAlignment="1">
      <alignment/>
    </xf>
    <xf numFmtId="0" fontId="5" fillId="38" borderId="27" xfId="0" applyFont="1" applyFill="1" applyBorder="1" applyAlignment="1">
      <alignment/>
    </xf>
    <xf numFmtId="0" fontId="5" fillId="38" borderId="32" xfId="0" applyFont="1" applyFill="1" applyBorder="1" applyAlignment="1">
      <alignment/>
    </xf>
    <xf numFmtId="0" fontId="9" fillId="38" borderId="33" xfId="0" applyFont="1" applyFill="1" applyBorder="1" applyAlignment="1">
      <alignment/>
    </xf>
    <xf numFmtId="0" fontId="9" fillId="38" borderId="34" xfId="0" applyFont="1" applyFill="1" applyBorder="1" applyAlignment="1">
      <alignment/>
    </xf>
    <xf numFmtId="0" fontId="9" fillId="38" borderId="35" xfId="0" applyFont="1" applyFill="1" applyBorder="1" applyAlignment="1">
      <alignment/>
    </xf>
    <xf numFmtId="0" fontId="9" fillId="0" borderId="33" xfId="0" applyFont="1" applyBorder="1" applyAlignment="1">
      <alignment/>
    </xf>
    <xf numFmtId="0" fontId="14" fillId="35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4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2" xfId="0" applyFont="1" applyBorder="1" applyAlignment="1">
      <alignment/>
    </xf>
    <xf numFmtId="0" fontId="9" fillId="35" borderId="29" xfId="0" applyFont="1" applyFill="1" applyBorder="1" applyAlignment="1">
      <alignment/>
    </xf>
    <xf numFmtId="0" fontId="9" fillId="0" borderId="36" xfId="0" applyFont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0" borderId="30" xfId="0" applyFont="1" applyBorder="1" applyAlignment="1">
      <alignment horizontal="right"/>
    </xf>
    <xf numFmtId="168" fontId="5" fillId="0" borderId="31" xfId="0" applyNumberFormat="1" applyFont="1" applyBorder="1" applyAlignment="1">
      <alignment/>
    </xf>
    <xf numFmtId="168" fontId="5" fillId="0" borderId="32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31" xfId="0" applyNumberFormat="1" applyFont="1" applyBorder="1" applyAlignment="1">
      <alignment/>
    </xf>
    <xf numFmtId="0" fontId="5" fillId="0" borderId="34" xfId="0" applyFont="1" applyBorder="1" applyAlignment="1">
      <alignment/>
    </xf>
    <xf numFmtId="1" fontId="9" fillId="0" borderId="31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27" xfId="0" applyNumberFormat="1" applyFon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0" borderId="37" xfId="0" applyFont="1" applyBorder="1" applyAlignment="1">
      <alignment horizontal="centerContinuous"/>
    </xf>
    <xf numFmtId="0" fontId="5" fillId="0" borderId="39" xfId="0" applyFont="1" applyBorder="1" applyAlignment="1">
      <alignment horizontal="centerContinuous"/>
    </xf>
    <xf numFmtId="0" fontId="9" fillId="0" borderId="39" xfId="0" applyFont="1" applyBorder="1" applyAlignment="1">
      <alignment horizontal="centerContinuous"/>
    </xf>
    <xf numFmtId="0" fontId="9" fillId="35" borderId="40" xfId="0" applyFont="1" applyFill="1" applyBorder="1" applyAlignment="1">
      <alignment/>
    </xf>
    <xf numFmtId="0" fontId="9" fillId="35" borderId="41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0" fontId="9" fillId="35" borderId="31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9" borderId="12" xfId="0" applyFont="1" applyFill="1" applyBorder="1" applyAlignment="1" applyProtection="1">
      <alignment/>
      <protection locked="0"/>
    </xf>
    <xf numFmtId="170" fontId="5" fillId="39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19" fillId="40" borderId="27" xfId="0" applyFont="1" applyFill="1" applyBorder="1" applyAlignment="1">
      <alignment/>
    </xf>
    <xf numFmtId="0" fontId="16" fillId="40" borderId="27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9" fontId="9" fillId="33" borderId="0" xfId="0" applyNumberFormat="1" applyFont="1" applyFill="1" applyBorder="1" applyAlignment="1" applyProtection="1">
      <alignment horizontal="right"/>
      <protection locked="0"/>
    </xf>
    <xf numFmtId="1" fontId="9" fillId="0" borderId="30" xfId="0" applyNumberFormat="1" applyFont="1" applyBorder="1" applyAlignment="1">
      <alignment/>
    </xf>
    <xf numFmtId="0" fontId="5" fillId="41" borderId="11" xfId="0" applyFont="1" applyFill="1" applyBorder="1" applyAlignment="1">
      <alignment/>
    </xf>
    <xf numFmtId="0" fontId="5" fillId="41" borderId="20" xfId="0" applyFont="1" applyFill="1" applyBorder="1" applyAlignment="1">
      <alignment/>
    </xf>
    <xf numFmtId="0" fontId="12" fillId="0" borderId="42" xfId="0" applyFont="1" applyBorder="1" applyAlignment="1">
      <alignment/>
    </xf>
    <xf numFmtId="0" fontId="12" fillId="0" borderId="15" xfId="0" applyFont="1" applyBorder="1" applyAlignment="1">
      <alignment/>
    </xf>
    <xf numFmtId="172" fontId="5" fillId="39" borderId="12" xfId="46" applyFont="1" applyFill="1" applyBorder="1" applyAlignment="1" applyProtection="1">
      <alignment/>
      <protection locked="0"/>
    </xf>
    <xf numFmtId="172" fontId="5" fillId="39" borderId="12" xfId="46" applyNumberFormat="1" applyFont="1" applyFill="1" applyBorder="1" applyAlignment="1" applyProtection="1">
      <alignment/>
      <protection locked="0"/>
    </xf>
    <xf numFmtId="172" fontId="9" fillId="0" borderId="0" xfId="46" applyFont="1" applyBorder="1" applyAlignment="1">
      <alignment/>
    </xf>
    <xf numFmtId="172" fontId="5" fillId="0" borderId="43" xfId="46" applyFont="1" applyBorder="1" applyAlignment="1">
      <alignment/>
    </xf>
    <xf numFmtId="172" fontId="5" fillId="35" borderId="44" xfId="46" applyFont="1" applyFill="1" applyBorder="1" applyAlignment="1">
      <alignment/>
    </xf>
    <xf numFmtId="172" fontId="5" fillId="35" borderId="45" xfId="46" applyFont="1" applyFill="1" applyBorder="1" applyAlignment="1">
      <alignment/>
    </xf>
    <xf numFmtId="172" fontId="5" fillId="33" borderId="29" xfId="46" applyFont="1" applyFill="1" applyBorder="1" applyAlignment="1" applyProtection="1">
      <alignment/>
      <protection locked="0"/>
    </xf>
    <xf numFmtId="172" fontId="5" fillId="0" borderId="46" xfId="46" applyFont="1" applyBorder="1" applyAlignment="1">
      <alignment/>
    </xf>
    <xf numFmtId="172" fontId="9" fillId="33" borderId="0" xfId="46" applyFont="1" applyFill="1" applyBorder="1" applyAlignment="1" applyProtection="1">
      <alignment horizontal="right"/>
      <protection locked="0"/>
    </xf>
    <xf numFmtId="172" fontId="9" fillId="0" borderId="31" xfId="46" applyFont="1" applyBorder="1" applyAlignment="1">
      <alignment/>
    </xf>
    <xf numFmtId="172" fontId="9" fillId="33" borderId="29" xfId="46" applyFont="1" applyFill="1" applyBorder="1" applyAlignment="1" applyProtection="1">
      <alignment horizontal="right"/>
      <protection locked="0"/>
    </xf>
    <xf numFmtId="172" fontId="5" fillId="0" borderId="47" xfId="46" applyFont="1" applyBorder="1" applyAlignment="1">
      <alignment/>
    </xf>
    <xf numFmtId="172" fontId="9" fillId="0" borderId="0" xfId="46" applyFont="1" applyAlignment="1">
      <alignment/>
    </xf>
    <xf numFmtId="172" fontId="9" fillId="0" borderId="30" xfId="46" applyFont="1" applyBorder="1" applyAlignment="1">
      <alignment/>
    </xf>
    <xf numFmtId="172" fontId="9" fillId="33" borderId="27" xfId="46" applyFont="1" applyFill="1" applyBorder="1" applyAlignment="1" applyProtection="1">
      <alignment horizontal="right"/>
      <protection locked="0"/>
    </xf>
    <xf numFmtId="172" fontId="5" fillId="35" borderId="31" xfId="46" applyFont="1" applyFill="1" applyBorder="1" applyAlignment="1">
      <alignment/>
    </xf>
    <xf numFmtId="172" fontId="5" fillId="35" borderId="32" xfId="46" applyFont="1" applyFill="1" applyBorder="1" applyAlignment="1">
      <alignment/>
    </xf>
    <xf numFmtId="172" fontId="9" fillId="35" borderId="23" xfId="46" applyFont="1" applyFill="1" applyBorder="1" applyAlignment="1">
      <alignment/>
    </xf>
    <xf numFmtId="172" fontId="5" fillId="42" borderId="28" xfId="46" applyFont="1" applyFill="1" applyBorder="1" applyAlignment="1">
      <alignment/>
    </xf>
    <xf numFmtId="172" fontId="10" fillId="37" borderId="43" xfId="46" applyFont="1" applyFill="1" applyBorder="1" applyAlignment="1">
      <alignment horizontal="center"/>
    </xf>
    <xf numFmtId="172" fontId="12" fillId="33" borderId="48" xfId="46" applyFont="1" applyFill="1" applyBorder="1" applyAlignment="1" applyProtection="1">
      <alignment/>
      <protection locked="0"/>
    </xf>
    <xf numFmtId="172" fontId="12" fillId="0" borderId="48" xfId="46" applyFont="1" applyBorder="1" applyAlignment="1">
      <alignment/>
    </xf>
    <xf numFmtId="172" fontId="12" fillId="34" borderId="0" xfId="46" applyFont="1" applyFill="1" applyBorder="1" applyAlignment="1">
      <alignment/>
    </xf>
    <xf numFmtId="172" fontId="12" fillId="0" borderId="49" xfId="46" applyFont="1" applyBorder="1" applyAlignment="1">
      <alignment/>
    </xf>
    <xf numFmtId="172" fontId="12" fillId="0" borderId="13" xfId="46" applyFont="1" applyBorder="1" applyAlignment="1">
      <alignment/>
    </xf>
    <xf numFmtId="172" fontId="12" fillId="35" borderId="13" xfId="46" applyFont="1" applyFill="1" applyBorder="1" applyAlignment="1">
      <alignment/>
    </xf>
    <xf numFmtId="172" fontId="9" fillId="33" borderId="12" xfId="46" applyFont="1" applyFill="1" applyBorder="1" applyAlignment="1" applyProtection="1">
      <alignment/>
      <protection locked="0"/>
    </xf>
    <xf numFmtId="172" fontId="9" fillId="0" borderId="12" xfId="46" applyFont="1" applyBorder="1" applyAlignment="1">
      <alignment/>
    </xf>
    <xf numFmtId="172" fontId="9" fillId="35" borderId="20" xfId="46" applyFont="1" applyFill="1" applyBorder="1" applyAlignment="1">
      <alignment/>
    </xf>
    <xf numFmtId="172" fontId="9" fillId="35" borderId="28" xfId="46" applyFont="1" applyFill="1" applyBorder="1" applyAlignment="1">
      <alignment/>
    </xf>
    <xf numFmtId="0" fontId="14" fillId="35" borderId="20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168" fontId="8" fillId="0" borderId="50" xfId="0" applyNumberFormat="1" applyFont="1" applyBorder="1" applyAlignment="1">
      <alignment horizontal="center"/>
    </xf>
    <xf numFmtId="168" fontId="8" fillId="0" borderId="51" xfId="0" applyNumberFormat="1" applyFont="1" applyBorder="1" applyAlignment="1">
      <alignment horizontal="center"/>
    </xf>
    <xf numFmtId="172" fontId="22" fillId="35" borderId="53" xfId="46" applyFont="1" applyFill="1" applyBorder="1" applyAlignment="1">
      <alignment horizontal="center"/>
    </xf>
    <xf numFmtId="172" fontId="22" fillId="0" borderId="53" xfId="46" applyFont="1" applyBorder="1" applyAlignment="1">
      <alignment horizontal="center"/>
    </xf>
    <xf numFmtId="172" fontId="22" fillId="0" borderId="54" xfId="46" applyFont="1" applyBorder="1" applyAlignment="1">
      <alignment horizontal="center"/>
    </xf>
    <xf numFmtId="172" fontId="22" fillId="0" borderId="55" xfId="46" applyFont="1" applyBorder="1" applyAlignment="1">
      <alignment horizontal="center"/>
    </xf>
    <xf numFmtId="172" fontId="23" fillId="0" borderId="53" xfId="46" applyFont="1" applyBorder="1" applyAlignment="1">
      <alignment horizontal="center"/>
    </xf>
    <xf numFmtId="172" fontId="23" fillId="0" borderId="54" xfId="46" applyFont="1" applyBorder="1" applyAlignment="1">
      <alignment horizontal="center"/>
    </xf>
    <xf numFmtId="172" fontId="23" fillId="0" borderId="55" xfId="46" applyFont="1" applyBorder="1" applyAlignment="1">
      <alignment horizontal="center"/>
    </xf>
    <xf numFmtId="0" fontId="24" fillId="0" borderId="0" xfId="49" applyBorder="1" applyAlignment="1" applyProtection="1">
      <alignment horizontal="center"/>
      <protection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72" fontId="12" fillId="0" borderId="27" xfId="46" applyFont="1" applyBorder="1" applyAlignment="1">
      <alignment/>
    </xf>
    <xf numFmtId="173" fontId="12" fillId="36" borderId="49" xfId="46" applyNumberFormat="1" applyFont="1" applyFill="1" applyBorder="1" applyAlignment="1" applyProtection="1">
      <alignment/>
      <protection locked="0"/>
    </xf>
    <xf numFmtId="2" fontId="12" fillId="0" borderId="13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27" fillId="43" borderId="0" xfId="0" applyFont="1" applyFill="1" applyBorder="1" applyAlignment="1" applyProtection="1">
      <alignment horizontal="center"/>
      <protection locked="0"/>
    </xf>
    <xf numFmtId="171" fontId="12" fillId="33" borderId="48" xfId="0" applyNumberFormat="1" applyFont="1" applyFill="1" applyBorder="1" applyAlignment="1" applyProtection="1">
      <alignment/>
      <protection locked="0"/>
    </xf>
    <xf numFmtId="172" fontId="30" fillId="0" borderId="20" xfId="46" applyFont="1" applyBorder="1" applyAlignment="1">
      <alignment/>
    </xf>
    <xf numFmtId="172" fontId="12" fillId="35" borderId="20" xfId="46" applyFont="1" applyFill="1" applyBorder="1" applyAlignment="1">
      <alignment/>
    </xf>
    <xf numFmtId="172" fontId="13" fillId="35" borderId="43" xfId="46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Alignment="1">
      <alignment/>
    </xf>
    <xf numFmtId="172" fontId="27" fillId="43" borderId="12" xfId="46" applyFont="1" applyFill="1" applyBorder="1" applyAlignment="1" applyProtection="1">
      <alignment/>
      <protection locked="0"/>
    </xf>
    <xf numFmtId="169" fontId="20" fillId="40" borderId="32" xfId="0" applyNumberFormat="1" applyFont="1" applyFill="1" applyBorder="1" applyAlignment="1">
      <alignment/>
    </xf>
    <xf numFmtId="172" fontId="5" fillId="0" borderId="11" xfId="46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8" fillId="33" borderId="56" xfId="0" applyFont="1" applyFill="1" applyBorder="1" applyAlignment="1" applyProtection="1">
      <alignment/>
      <protection locked="0"/>
    </xf>
    <xf numFmtId="0" fontId="12" fillId="33" borderId="48" xfId="0" applyFont="1" applyFill="1" applyBorder="1" applyAlignment="1" applyProtection="1">
      <alignment/>
      <protection locked="0"/>
    </xf>
    <xf numFmtId="0" fontId="12" fillId="33" borderId="57" xfId="0" applyFont="1" applyFill="1" applyBorder="1" applyAlignment="1" applyProtection="1">
      <alignment/>
      <protection locked="0"/>
    </xf>
    <xf numFmtId="0" fontId="13" fillId="33" borderId="56" xfId="0" applyFont="1" applyFill="1" applyBorder="1" applyAlignment="1" applyProtection="1">
      <alignment/>
      <protection locked="0"/>
    </xf>
    <xf numFmtId="0" fontId="13" fillId="33" borderId="48" xfId="0" applyFont="1" applyFill="1" applyBorder="1" applyAlignment="1" applyProtection="1">
      <alignment/>
      <protection locked="0"/>
    </xf>
    <xf numFmtId="0" fontId="12" fillId="33" borderId="56" xfId="0" applyFont="1" applyFill="1" applyBorder="1" applyAlignment="1" applyProtection="1">
      <alignment/>
      <protection locked="0"/>
    </xf>
    <xf numFmtId="174" fontId="5" fillId="0" borderId="32" xfId="0" applyNumberFormat="1" applyFont="1" applyBorder="1" applyAlignment="1">
      <alignment/>
    </xf>
    <xf numFmtId="175" fontId="14" fillId="35" borderId="11" xfId="46" applyNumberFormat="1" applyFont="1" applyFill="1" applyBorder="1" applyAlignment="1">
      <alignment horizontal="center"/>
    </xf>
    <xf numFmtId="175" fontId="14" fillId="0" borderId="0" xfId="46" applyNumberFormat="1" applyFont="1" applyBorder="1" applyAlignment="1">
      <alignment horizontal="center"/>
    </xf>
    <xf numFmtId="175" fontId="14" fillId="0" borderId="26" xfId="46" applyNumberFormat="1" applyFont="1" applyBorder="1" applyAlignment="1">
      <alignment horizontal="center"/>
    </xf>
    <xf numFmtId="175" fontId="8" fillId="0" borderId="22" xfId="46" applyNumberFormat="1" applyFont="1" applyBorder="1" applyAlignment="1">
      <alignment horizontal="center"/>
    </xf>
    <xf numFmtId="175" fontId="8" fillId="0" borderId="24" xfId="46" applyNumberFormat="1" applyFont="1" applyBorder="1" applyAlignment="1">
      <alignment horizontal="center"/>
    </xf>
    <xf numFmtId="175" fontId="8" fillId="0" borderId="25" xfId="46" applyNumberFormat="1" applyFont="1" applyBorder="1" applyAlignment="1">
      <alignment horizontal="center"/>
    </xf>
    <xf numFmtId="8" fontId="9" fillId="0" borderId="0" xfId="0" applyNumberFormat="1" applyFont="1" applyBorder="1" applyAlignment="1">
      <alignment/>
    </xf>
    <xf numFmtId="0" fontId="9" fillId="0" borderId="0" xfId="0" applyFont="1" applyAlignment="1">
      <alignment horizontal="left" indent="1"/>
    </xf>
    <xf numFmtId="172" fontId="9" fillId="39" borderId="0" xfId="46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172" fontId="26" fillId="43" borderId="27" xfId="46" applyFont="1" applyFill="1" applyBorder="1" applyAlignment="1" applyProtection="1">
      <alignment horizontal="right"/>
      <protection locked="0"/>
    </xf>
    <xf numFmtId="172" fontId="31" fillId="43" borderId="27" xfId="46" applyFont="1" applyFill="1" applyBorder="1" applyAlignment="1" applyProtection="1">
      <alignment/>
      <protection locked="0"/>
    </xf>
    <xf numFmtId="0" fontId="67" fillId="0" borderId="0" xfId="0" applyFont="1" applyAlignment="1">
      <alignment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 applyProtection="1">
      <alignment horizontal="left"/>
      <protection locked="0"/>
    </xf>
    <xf numFmtId="0" fontId="4" fillId="40" borderId="0" xfId="0" applyFont="1" applyFill="1" applyBorder="1" applyAlignment="1">
      <alignment horizontal="center" wrapText="1"/>
    </xf>
    <xf numFmtId="0" fontId="4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28" fillId="41" borderId="0" xfId="0" applyFont="1" applyFill="1" applyBorder="1" applyAlignment="1">
      <alignment horizontal="center"/>
    </xf>
    <xf numFmtId="0" fontId="28" fillId="41" borderId="58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43" borderId="0" xfId="0" applyFont="1" applyFill="1" applyBorder="1" applyAlignment="1">
      <alignment horizontal="left" wrapText="1"/>
    </xf>
    <xf numFmtId="0" fontId="26" fillId="43" borderId="0" xfId="0" applyFont="1" applyFill="1" applyBorder="1" applyAlignment="1">
      <alignment horizontal="left"/>
    </xf>
    <xf numFmtId="0" fontId="29" fillId="0" borderId="0" xfId="49" applyFont="1" applyBorder="1" applyAlignment="1" applyProtection="1">
      <alignment horizontal="center"/>
      <protection/>
    </xf>
    <xf numFmtId="0" fontId="11" fillId="40" borderId="59" xfId="0" applyFont="1" applyFill="1" applyBorder="1" applyAlignment="1">
      <alignment horizontal="center"/>
    </xf>
    <xf numFmtId="0" fontId="11" fillId="40" borderId="6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center"/>
    </xf>
    <xf numFmtId="0" fontId="9" fillId="33" borderId="56" xfId="0" applyFont="1" applyFill="1" applyBorder="1" applyAlignment="1" applyProtection="1">
      <alignment horizontal="left"/>
      <protection locked="0"/>
    </xf>
    <xf numFmtId="0" fontId="9" fillId="33" borderId="57" xfId="0" applyFont="1" applyFill="1" applyBorder="1" applyAlignment="1" applyProtection="1">
      <alignment horizontal="left"/>
      <protection locked="0"/>
    </xf>
    <xf numFmtId="0" fontId="12" fillId="0" borderId="49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500"/>
      <c:rAngAx val="1"/>
    </c:view3D>
    <c:plotArea>
      <c:layout>
        <c:manualLayout>
          <c:xMode val="edge"/>
          <c:yMode val="edge"/>
          <c:x val="0.15725"/>
          <c:y val="0.0185"/>
          <c:w val="0.818"/>
          <c:h val="0.4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'SMVH-DB und PROKORE'!$A$63:$A$68</c:f>
              <c:strCache/>
            </c:strRef>
          </c:cat>
          <c:val>
            <c:numRef>
              <c:f>'SMVH-DB und PROKORE'!$D$63:$D$68</c:f>
              <c:numCache/>
            </c:numRef>
          </c:val>
          <c:shape val="box"/>
        </c:ser>
        <c:gapDepth val="0"/>
        <c:shape val="box"/>
        <c:axId val="11575939"/>
        <c:axId val="37074588"/>
      </c:bar3DChart>
      <c:catAx>
        <c:axId val="11575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74588"/>
        <c:crosses val="autoZero"/>
        <c:auto val="1"/>
        <c:lblOffset val="100"/>
        <c:tickLblSkip val="1"/>
        <c:noMultiLvlLbl val="0"/>
      </c:catAx>
      <c:valAx>
        <c:axId val="3707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759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Detail_Futter" /><Relationship Id="rId3" Type="http://schemas.openxmlformats.org/officeDocument/2006/relationships/hyperlink" Target="#Detail_K&#228;lberaufzucht" /><Relationship Id="rId4" Type="http://schemas.openxmlformats.org/officeDocument/2006/relationships/hyperlink" Target="#Detail_sonstige_Kosten" /><Relationship Id="rId5" Type="http://schemas.openxmlformats.org/officeDocument/2006/relationships/hyperlink" Target="#Detail_Milchgewinnung" /><Relationship Id="rId6" Type="http://schemas.openxmlformats.org/officeDocument/2006/relationships/hyperlink" Target="#Lohnanspruch_gesamt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Bestandeserg&#228;nzung" /><Relationship Id="rId2" Type="http://schemas.openxmlformats.org/officeDocument/2006/relationships/hyperlink" Target="#Bestandeserg&#228;nzung" /><Relationship Id="rId3" Type="http://schemas.openxmlformats.org/officeDocument/2006/relationships/hyperlink" Target="#Bestandeserg&#228;nzung" /><Relationship Id="rId4" Type="http://schemas.openxmlformats.org/officeDocument/2006/relationships/hyperlink" Target="#Bestandeserg&#228;nzu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70</xdr:row>
      <xdr:rowOff>76200</xdr:rowOff>
    </xdr:from>
    <xdr:to>
      <xdr:col>6</xdr:col>
      <xdr:colOff>1447800</xdr:colOff>
      <xdr:row>92</xdr:row>
      <xdr:rowOff>66675</xdr:rowOff>
    </xdr:to>
    <xdr:graphicFrame>
      <xdr:nvGraphicFramePr>
        <xdr:cNvPr id="1" name="Chart 7"/>
        <xdr:cNvGraphicFramePr/>
      </xdr:nvGraphicFramePr>
      <xdr:xfrm>
        <a:off x="161925" y="13125450"/>
        <a:ext cx="7334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47</xdr:row>
      <xdr:rowOff>9525</xdr:rowOff>
    </xdr:from>
    <xdr:to>
      <xdr:col>6</xdr:col>
      <xdr:colOff>57150</xdr:colOff>
      <xdr:row>48</xdr:row>
      <xdr:rowOff>133350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4914900" y="9267825"/>
          <a:ext cx="1190625" cy="285750"/>
        </a:xfrm>
        <a:prstGeom prst="rightArrowCallou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28575</xdr:rowOff>
    </xdr:from>
    <xdr:to>
      <xdr:col>6</xdr:col>
      <xdr:colOff>57150</xdr:colOff>
      <xdr:row>50</xdr:row>
      <xdr:rowOff>0</xdr:rowOff>
    </xdr:to>
    <xdr:sp>
      <xdr:nvSpPr>
        <xdr:cNvPr id="3" name="AutoShape 9">
          <a:hlinkClick r:id="rId3"/>
        </xdr:cNvPr>
        <xdr:cNvSpPr>
          <a:spLocks/>
        </xdr:cNvSpPr>
      </xdr:nvSpPr>
      <xdr:spPr>
        <a:xfrm>
          <a:off x="4914900" y="9610725"/>
          <a:ext cx="1190625" cy="133350"/>
        </a:xfrm>
        <a:prstGeom prst="rightArrowCallout">
          <a:avLst>
            <a:gd name="adj" fmla="val 3608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6</xdr:col>
      <xdr:colOff>57150</xdr:colOff>
      <xdr:row>51</xdr:row>
      <xdr:rowOff>133350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4914900" y="9906000"/>
          <a:ext cx="1190625" cy="133350"/>
        </a:xfrm>
        <a:prstGeom prst="rightArrowCallou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50</xdr:row>
      <xdr:rowOff>28575</xdr:rowOff>
    </xdr:from>
    <xdr:to>
      <xdr:col>6</xdr:col>
      <xdr:colOff>57150</xdr:colOff>
      <xdr:row>50</xdr:row>
      <xdr:rowOff>133350</xdr:rowOff>
    </xdr:to>
    <xdr:sp>
      <xdr:nvSpPr>
        <xdr:cNvPr id="5" name="AutoShape 11">
          <a:hlinkClick r:id="rId5"/>
        </xdr:cNvPr>
        <xdr:cNvSpPr>
          <a:spLocks/>
        </xdr:cNvSpPr>
      </xdr:nvSpPr>
      <xdr:spPr>
        <a:xfrm>
          <a:off x="4914900" y="9772650"/>
          <a:ext cx="1190625" cy="104775"/>
        </a:xfrm>
        <a:prstGeom prst="rightArrowCallou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57</xdr:row>
      <xdr:rowOff>47625</xdr:rowOff>
    </xdr:from>
    <xdr:to>
      <xdr:col>5</xdr:col>
      <xdr:colOff>666750</xdr:colOff>
      <xdr:row>61</xdr:row>
      <xdr:rowOff>133350</xdr:rowOff>
    </xdr:to>
    <xdr:sp>
      <xdr:nvSpPr>
        <xdr:cNvPr id="6" name="AutoShape 12">
          <a:hlinkClick r:id="rId6"/>
        </xdr:cNvPr>
        <xdr:cNvSpPr>
          <a:spLocks/>
        </xdr:cNvSpPr>
      </xdr:nvSpPr>
      <xdr:spPr>
        <a:xfrm rot="5310485">
          <a:off x="5219700" y="10982325"/>
          <a:ext cx="352425" cy="742950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</xdr:row>
      <xdr:rowOff>285750</xdr:rowOff>
    </xdr:from>
    <xdr:to>
      <xdr:col>7</xdr:col>
      <xdr:colOff>333375</xdr:colOff>
      <xdr:row>7</xdr:row>
      <xdr:rowOff>76200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 flipV="1">
          <a:off x="5800725" y="895350"/>
          <a:ext cx="790575" cy="6191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13</xdr:row>
      <xdr:rowOff>152400</xdr:rowOff>
    </xdr:from>
    <xdr:to>
      <xdr:col>7</xdr:col>
      <xdr:colOff>361950</xdr:colOff>
      <xdr:row>17</xdr:row>
      <xdr:rowOff>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 rot="10800000">
          <a:off x="5819775" y="2638425"/>
          <a:ext cx="800100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32</xdr:row>
      <xdr:rowOff>123825</xdr:rowOff>
    </xdr:from>
    <xdr:to>
      <xdr:col>7</xdr:col>
      <xdr:colOff>390525</xdr:colOff>
      <xdr:row>36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 rot="10800000">
          <a:off x="5857875" y="6019800"/>
          <a:ext cx="79057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76200</xdr:rowOff>
    </xdr:from>
    <xdr:to>
      <xdr:col>7</xdr:col>
      <xdr:colOff>371475</xdr:colOff>
      <xdr:row>27</xdr:row>
      <xdr:rowOff>0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 rot="10800000">
          <a:off x="5838825" y="4391025"/>
          <a:ext cx="790575" cy="5715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.erber@tsn.at?subject=Frage%20zu%20DB%20PROKORE%20Spez%20MVH" TargetMode="External" /><Relationship Id="rId2" Type="http://schemas.openxmlformats.org/officeDocument/2006/relationships/hyperlink" Target="http://blrw.twoday.net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showGridLines="0" showRowColHeaders="0" showZeros="0" tabSelected="1" defaultGridColor="0" zoomScale="91" zoomScaleNormal="91" zoomScalePageLayoutView="0" colorId="17" workbookViewId="0" topLeftCell="A1">
      <selection activeCell="F148" sqref="F148"/>
    </sheetView>
  </sheetViews>
  <sheetFormatPr defaultColWidth="11.421875" defaultRowHeight="12.75"/>
  <cols>
    <col min="1" max="1" width="11.421875" style="5" customWidth="1"/>
    <col min="2" max="2" width="11.8515625" style="5" customWidth="1"/>
    <col min="3" max="3" width="18.421875" style="5" customWidth="1"/>
    <col min="4" max="4" width="15.8515625" style="5" customWidth="1"/>
    <col min="5" max="5" width="16.00390625" style="5" customWidth="1"/>
    <col min="6" max="6" width="17.140625" style="5" customWidth="1"/>
    <col min="7" max="7" width="23.28125" style="5" customWidth="1"/>
    <col min="8" max="8" width="17.28125" style="5" customWidth="1"/>
    <col min="9" max="16384" width="11.421875" style="5" customWidth="1"/>
  </cols>
  <sheetData>
    <row r="1" spans="1:8" ht="48" customHeight="1">
      <c r="A1" s="205" t="s">
        <v>123</v>
      </c>
      <c r="B1" s="206"/>
      <c r="C1" s="206"/>
      <c r="D1" s="206"/>
      <c r="E1" s="206"/>
      <c r="F1" s="206"/>
      <c r="G1" s="207"/>
      <c r="H1" s="2" t="s">
        <v>105</v>
      </c>
    </row>
    <row r="2" spans="1:8" ht="12.75">
      <c r="A2" s="208" t="s">
        <v>143</v>
      </c>
      <c r="B2" s="208"/>
      <c r="C2" s="208"/>
      <c r="D2" s="208"/>
      <c r="E2" s="208"/>
      <c r="F2" s="208"/>
      <c r="G2" s="208"/>
      <c r="H2" s="209"/>
    </row>
    <row r="3" spans="1:8" ht="18">
      <c r="A3" s="211" t="s">
        <v>111</v>
      </c>
      <c r="B3" s="212"/>
      <c r="C3" s="212"/>
      <c r="D3" s="212"/>
      <c r="E3" s="212"/>
      <c r="F3" s="212"/>
      <c r="G3" s="212"/>
      <c r="H3" s="212"/>
    </row>
    <row r="4" spans="1:8" ht="12.75">
      <c r="A4" s="213" t="s">
        <v>141</v>
      </c>
      <c r="B4" s="214"/>
      <c r="C4" s="214"/>
      <c r="D4" s="214"/>
      <c r="E4" s="214"/>
      <c r="F4" s="214"/>
      <c r="G4" s="214"/>
      <c r="H4" s="164" t="s">
        <v>118</v>
      </c>
    </row>
    <row r="5" spans="1:9" ht="18">
      <c r="A5" s="176"/>
      <c r="B5" s="176"/>
      <c r="C5" s="176"/>
      <c r="D5" s="176"/>
      <c r="E5" s="114"/>
      <c r="F5" s="114"/>
      <c r="G5" s="181" t="s">
        <v>151</v>
      </c>
      <c r="H5" s="215" t="s">
        <v>124</v>
      </c>
      <c r="I5" s="215"/>
    </row>
    <row r="6" spans="1:8" ht="18">
      <c r="A6" s="210" t="s">
        <v>113</v>
      </c>
      <c r="B6" s="210"/>
      <c r="C6" s="210"/>
      <c r="H6" s="114"/>
    </row>
    <row r="7" spans="2:8" ht="18">
      <c r="B7" s="182" t="s">
        <v>0</v>
      </c>
      <c r="C7" s="183"/>
      <c r="D7" s="183"/>
      <c r="E7" s="183"/>
      <c r="F7" s="183"/>
      <c r="G7" s="184"/>
      <c r="H7" s="114"/>
    </row>
    <row r="8" spans="2:8" ht="18">
      <c r="B8" s="185" t="s">
        <v>1</v>
      </c>
      <c r="C8" s="186"/>
      <c r="D8" s="183"/>
      <c r="E8" s="183"/>
      <c r="F8" s="183"/>
      <c r="G8" s="184"/>
      <c r="H8" s="114"/>
    </row>
    <row r="9" spans="2:8" ht="18">
      <c r="B9" s="187"/>
      <c r="C9" s="183"/>
      <c r="D9" s="183" t="s">
        <v>2</v>
      </c>
      <c r="E9" s="183"/>
      <c r="F9" s="183"/>
      <c r="G9" s="184"/>
      <c r="H9" s="114"/>
    </row>
    <row r="10" spans="2:8" ht="18">
      <c r="B10" s="187"/>
      <c r="C10" s="183"/>
      <c r="D10" s="183" t="s">
        <v>3</v>
      </c>
      <c r="E10" s="183"/>
      <c r="F10" s="183"/>
      <c r="G10" s="184"/>
      <c r="H10" s="114"/>
    </row>
    <row r="11" spans="2:8" ht="18">
      <c r="B11" s="187"/>
      <c r="C11" s="183"/>
      <c r="D11" s="183"/>
      <c r="E11" s="183"/>
      <c r="F11" s="183"/>
      <c r="G11" s="184"/>
      <c r="H11" s="114"/>
    </row>
    <row r="12" spans="2:8" ht="18">
      <c r="B12" s="185" t="s">
        <v>150</v>
      </c>
      <c r="C12" s="183"/>
      <c r="D12" s="183">
        <f>Marktleistung</f>
        <v>50000</v>
      </c>
      <c r="E12" s="183" t="s">
        <v>128</v>
      </c>
      <c r="F12" s="183"/>
      <c r="G12" s="184"/>
      <c r="H12" s="114"/>
    </row>
    <row r="13" spans="2:8" ht="18">
      <c r="B13" s="185"/>
      <c r="C13" s="183"/>
      <c r="D13" s="183"/>
      <c r="E13" s="183"/>
      <c r="F13" s="183"/>
      <c r="G13" s="184"/>
      <c r="H13" s="114"/>
    </row>
    <row r="14" spans="2:8" ht="18">
      <c r="B14" s="185" t="s">
        <v>4</v>
      </c>
      <c r="C14" s="183"/>
      <c r="D14" s="183">
        <v>10</v>
      </c>
      <c r="E14" s="183" t="s">
        <v>5</v>
      </c>
      <c r="F14" s="183"/>
      <c r="G14" s="184"/>
      <c r="H14" s="114"/>
    </row>
    <row r="15" spans="2:8" ht="18">
      <c r="B15" s="187"/>
      <c r="C15" s="183"/>
      <c r="D15" s="183">
        <v>8</v>
      </c>
      <c r="E15" s="183" t="s">
        <v>6</v>
      </c>
      <c r="F15" s="183"/>
      <c r="G15" s="184"/>
      <c r="H15" s="114"/>
    </row>
    <row r="16" spans="2:8" ht="18">
      <c r="B16" s="185" t="s">
        <v>7</v>
      </c>
      <c r="C16" s="183"/>
      <c r="D16" s="183" t="s">
        <v>125</v>
      </c>
      <c r="E16" s="183"/>
      <c r="F16" s="183"/>
      <c r="G16" s="184"/>
      <c r="H16" s="114"/>
    </row>
    <row r="17" spans="2:10" ht="18">
      <c r="B17" s="185" t="s">
        <v>119</v>
      </c>
      <c r="C17" s="183"/>
      <c r="D17" s="183">
        <v>187</v>
      </c>
      <c r="E17" s="183"/>
      <c r="F17" s="183"/>
      <c r="G17" s="184"/>
      <c r="H17" s="114"/>
      <c r="I17" s="34"/>
      <c r="J17" s="34"/>
    </row>
    <row r="18" spans="2:10" ht="18">
      <c r="B18" s="185" t="s">
        <v>8</v>
      </c>
      <c r="C18" s="183"/>
      <c r="D18" s="183" t="s">
        <v>126</v>
      </c>
      <c r="E18" s="183"/>
      <c r="F18" s="183"/>
      <c r="G18" s="184"/>
      <c r="H18" s="114"/>
      <c r="I18" s="34"/>
      <c r="J18" s="34"/>
    </row>
    <row r="19" spans="2:10" ht="18">
      <c r="B19" s="185"/>
      <c r="C19" s="183"/>
      <c r="D19" s="183"/>
      <c r="E19" s="183"/>
      <c r="F19" s="183"/>
      <c r="G19" s="184"/>
      <c r="H19" s="114"/>
      <c r="I19" s="34"/>
      <c r="J19" s="34"/>
    </row>
    <row r="20" spans="1:8" ht="18">
      <c r="A20" s="36"/>
      <c r="B20" s="36"/>
      <c r="C20" s="54"/>
      <c r="D20" s="54"/>
      <c r="E20" s="54"/>
      <c r="F20" s="54"/>
      <c r="G20" s="35"/>
      <c r="H20" s="35"/>
    </row>
    <row r="21" spans="1:3" ht="12.75">
      <c r="A21" s="210" t="s">
        <v>10</v>
      </c>
      <c r="B21" s="210"/>
      <c r="C21" s="210"/>
    </row>
    <row r="22" spans="1:5" ht="12.75">
      <c r="A22" s="1"/>
      <c r="B22" s="62" t="s">
        <v>129</v>
      </c>
      <c r="C22" s="57"/>
      <c r="D22" s="56">
        <f>D23+Detailkalkulationen!C16*D26*Abkalbequote</f>
        <v>52700</v>
      </c>
      <c r="E22" s="58" t="s">
        <v>11</v>
      </c>
    </row>
    <row r="23" spans="2:5" ht="12.75">
      <c r="B23" s="63" t="s">
        <v>114</v>
      </c>
      <c r="C23" s="55"/>
      <c r="D23" s="107">
        <v>50000</v>
      </c>
      <c r="E23" s="59" t="s">
        <v>11</v>
      </c>
    </row>
    <row r="24" spans="2:5" ht="12.75">
      <c r="B24" s="63" t="s">
        <v>12</v>
      </c>
      <c r="C24" s="55"/>
      <c r="D24" s="107">
        <v>5</v>
      </c>
      <c r="E24" s="59" t="s">
        <v>13</v>
      </c>
    </row>
    <row r="25" spans="2:5" ht="12.75">
      <c r="B25" s="63" t="s">
        <v>14</v>
      </c>
      <c r="C25" s="55"/>
      <c r="D25" s="107">
        <v>0.9</v>
      </c>
      <c r="E25" s="59"/>
    </row>
    <row r="26" spans="2:5" ht="12.75">
      <c r="B26" s="63" t="s">
        <v>130</v>
      </c>
      <c r="C26" s="55"/>
      <c r="D26" s="107">
        <v>10</v>
      </c>
      <c r="E26" s="59" t="s">
        <v>5</v>
      </c>
    </row>
    <row r="27" spans="2:5" ht="12.75">
      <c r="B27" s="63"/>
      <c r="C27" s="55"/>
      <c r="D27" s="56">
        <f>D26*Abkalbequote</f>
        <v>9</v>
      </c>
      <c r="E27" s="59" t="s">
        <v>15</v>
      </c>
    </row>
    <row r="28" spans="2:5" ht="12.75">
      <c r="B28" s="63" t="s">
        <v>16</v>
      </c>
      <c r="C28" s="55"/>
      <c r="D28" s="121">
        <v>0.48</v>
      </c>
      <c r="E28" s="59" t="s">
        <v>106</v>
      </c>
    </row>
    <row r="29" spans="2:5" ht="12.75">
      <c r="B29" s="63" t="s">
        <v>17</v>
      </c>
      <c r="C29" s="55"/>
      <c r="D29" s="107">
        <v>800</v>
      </c>
      <c r="E29" s="59" t="s">
        <v>11</v>
      </c>
    </row>
    <row r="30" spans="2:5" ht="12.75">
      <c r="B30" s="63" t="s">
        <v>18</v>
      </c>
      <c r="C30" s="55"/>
      <c r="D30" s="122">
        <v>1</v>
      </c>
      <c r="E30" s="59" t="s">
        <v>106</v>
      </c>
    </row>
    <row r="31" spans="2:5" ht="12.75">
      <c r="B31" s="63" t="s">
        <v>107</v>
      </c>
      <c r="C31" s="55"/>
      <c r="D31" s="107">
        <v>80</v>
      </c>
      <c r="E31" s="59" t="s">
        <v>11</v>
      </c>
    </row>
    <row r="32" spans="2:5" ht="12.75">
      <c r="B32" s="63" t="s">
        <v>19</v>
      </c>
      <c r="C32" s="55"/>
      <c r="D32" s="121">
        <v>2.5</v>
      </c>
      <c r="E32" s="59" t="s">
        <v>106</v>
      </c>
    </row>
    <row r="33" spans="2:5" ht="12.75">
      <c r="B33" s="63" t="s">
        <v>20</v>
      </c>
      <c r="C33" s="55"/>
      <c r="D33" s="121">
        <v>2.3</v>
      </c>
      <c r="E33" s="59" t="s">
        <v>106</v>
      </c>
    </row>
    <row r="34" spans="2:5" ht="12.75">
      <c r="B34" s="63" t="s">
        <v>21</v>
      </c>
      <c r="C34" s="55"/>
      <c r="D34" s="121">
        <v>1500</v>
      </c>
      <c r="E34" s="59"/>
    </row>
    <row r="35" spans="2:5" ht="12.75">
      <c r="B35" s="64" t="s">
        <v>22</v>
      </c>
      <c r="C35" s="60"/>
      <c r="D35" s="108">
        <v>0.02</v>
      </c>
      <c r="E35" s="61"/>
    </row>
    <row r="36" ht="12.75"/>
    <row r="37" spans="1:7" ht="15">
      <c r="A37" s="65"/>
      <c r="B37" s="66" t="s">
        <v>152</v>
      </c>
      <c r="C37" s="66"/>
      <c r="D37" s="66"/>
      <c r="E37" s="67"/>
      <c r="F37" s="67"/>
      <c r="G37" s="68"/>
    </row>
    <row r="38" spans="1:7" ht="12.75">
      <c r="A38" s="69" t="s">
        <v>24</v>
      </c>
      <c r="B38" s="34"/>
      <c r="C38" s="34"/>
      <c r="D38" s="34"/>
      <c r="E38" s="123">
        <f>Marktleistung*Milchpreis</f>
        <v>24000</v>
      </c>
      <c r="F38" s="70"/>
      <c r="G38" s="71"/>
    </row>
    <row r="39" spans="1:7" ht="12.75">
      <c r="A39" s="69" t="s">
        <v>25</v>
      </c>
      <c r="B39" s="34"/>
      <c r="C39" s="34"/>
      <c r="D39" s="34"/>
      <c r="E39" s="123">
        <f>Altkuhgewicht*Altkuhpreis/Nutzungsdauer*D26</f>
        <v>1600</v>
      </c>
      <c r="F39" s="70"/>
      <c r="G39" s="71"/>
    </row>
    <row r="40" spans="1:7" ht="12.75">
      <c r="A40" s="69" t="s">
        <v>26</v>
      </c>
      <c r="B40" s="34"/>
      <c r="C40" s="22"/>
      <c r="D40" s="34"/>
      <c r="E40" s="123">
        <f>Verkaufsgewicht_Kälber*Abkalbequote*0.5*Kälberpreis_m*D26</f>
        <v>900</v>
      </c>
      <c r="F40" s="70"/>
      <c r="G40" s="71"/>
    </row>
    <row r="41" spans="1:7" ht="12.75">
      <c r="A41" s="69" t="s">
        <v>27</v>
      </c>
      <c r="B41" s="34"/>
      <c r="C41" s="22"/>
      <c r="D41" s="34"/>
      <c r="E41" s="123">
        <f>Verkaufsgewicht_Kälber*Abkalbequote*0.5*Kälberpreis_w*D26</f>
        <v>828</v>
      </c>
      <c r="F41" s="70"/>
      <c r="G41" s="71"/>
    </row>
    <row r="42" spans="1:7" ht="13.5" thickBot="1">
      <c r="A42" s="69" t="s">
        <v>144</v>
      </c>
      <c r="B42" s="34"/>
      <c r="C42" s="22"/>
      <c r="D42" s="34"/>
      <c r="E42" s="197">
        <v>0</v>
      </c>
      <c r="F42" s="70"/>
      <c r="G42" s="71"/>
    </row>
    <row r="43" spans="1:7" ht="12.75">
      <c r="A43" s="72"/>
      <c r="B43" s="47"/>
      <c r="C43" s="47"/>
      <c r="D43" s="47"/>
      <c r="E43" s="81"/>
      <c r="F43" s="124">
        <f>Milcherlös+Altkuherlös+Kälbererlös_m+Kälbererlös_w+sonstiges</f>
        <v>27328</v>
      </c>
      <c r="G43" s="73"/>
    </row>
    <row r="44" ht="12.75"/>
    <row r="45" ht="12.75"/>
    <row r="46" spans="1:7" ht="15">
      <c r="A46" s="65"/>
      <c r="B46" s="66" t="s">
        <v>28</v>
      </c>
      <c r="C46" s="66"/>
      <c r="D46" s="74"/>
      <c r="E46" s="67"/>
      <c r="F46" s="67"/>
      <c r="G46" s="68"/>
    </row>
    <row r="47" spans="1:7" ht="12.75">
      <c r="A47" s="69" t="s">
        <v>29</v>
      </c>
      <c r="B47" s="34"/>
      <c r="C47" s="90">
        <f>1/Nutzungsdauer*D26</f>
        <v>2</v>
      </c>
      <c r="D47" s="34" t="s">
        <v>30</v>
      </c>
      <c r="E47" s="123">
        <f>Bedarf_pro_Jahr*kalbinnenpreis</f>
        <v>3000</v>
      </c>
      <c r="F47" s="34"/>
      <c r="G47" s="71"/>
    </row>
    <row r="48" spans="1:7" ht="12.75">
      <c r="A48" s="69" t="s">
        <v>32</v>
      </c>
      <c r="B48" s="34" t="s">
        <v>33</v>
      </c>
      <c r="C48" s="34"/>
      <c r="D48" s="34"/>
      <c r="E48" s="123">
        <f>Grundfutterkosten</f>
        <v>5696</v>
      </c>
      <c r="F48" s="22"/>
      <c r="G48" s="71"/>
    </row>
    <row r="49" spans="1:7" ht="12.75">
      <c r="A49" s="69"/>
      <c r="B49" s="34" t="s">
        <v>147</v>
      </c>
      <c r="C49" s="34"/>
      <c r="D49" s="34"/>
      <c r="E49" s="123">
        <f>Kraftfutterkosten</f>
        <v>3174</v>
      </c>
      <c r="F49" s="22"/>
      <c r="G49" s="71"/>
    </row>
    <row r="50" spans="1:7" ht="12.75">
      <c r="A50" s="69"/>
      <c r="B50" s="34" t="s">
        <v>34</v>
      </c>
      <c r="C50" s="34"/>
      <c r="D50" s="34" t="s">
        <v>37</v>
      </c>
      <c r="E50" s="123">
        <f>(Kälberaufzuchtfutter+Tierarztpauschale)*AnzK</f>
        <v>108</v>
      </c>
      <c r="F50" s="34"/>
      <c r="G50" s="71"/>
    </row>
    <row r="51" spans="1:7" ht="12.75">
      <c r="A51" s="69" t="s">
        <v>35</v>
      </c>
      <c r="B51" s="34"/>
      <c r="C51" s="34"/>
      <c r="D51" s="34"/>
      <c r="E51" s="123">
        <f>VarKosten_Milchgewinnung</f>
        <v>920</v>
      </c>
      <c r="F51" s="34"/>
      <c r="G51" s="71"/>
    </row>
    <row r="52" spans="1:7" ht="13.5" thickBot="1">
      <c r="A52" s="69" t="s">
        <v>36</v>
      </c>
      <c r="B52" s="34"/>
      <c r="C52" s="34"/>
      <c r="D52" s="34"/>
      <c r="E52" s="123">
        <f>VarKosten_Sonstiges</f>
        <v>2529</v>
      </c>
      <c r="F52" s="34"/>
      <c r="G52" s="71"/>
    </row>
    <row r="53" spans="1:7" ht="13.5" thickBot="1">
      <c r="A53" s="69"/>
      <c r="B53" s="34"/>
      <c r="C53" s="34"/>
      <c r="D53" s="18" t="s">
        <v>37</v>
      </c>
      <c r="E53" s="173">
        <f>Bestandesergänzung+E48+E49+E50+E51+E52</f>
        <v>15427</v>
      </c>
      <c r="F53" s="180"/>
      <c r="G53" s="75"/>
    </row>
    <row r="54" spans="1:7" ht="12.75">
      <c r="A54" s="72"/>
      <c r="B54" s="47"/>
      <c r="C54" s="47"/>
      <c r="D54" s="112" t="s">
        <v>38</v>
      </c>
      <c r="E54" s="113"/>
      <c r="F54" s="113"/>
      <c r="G54" s="179">
        <f>E53/D22</f>
        <v>0.2927324478178368</v>
      </c>
    </row>
    <row r="55" ht="12.75"/>
    <row r="56" spans="2:4" ht="15.75" thickBot="1">
      <c r="B56" s="38" t="s">
        <v>39</v>
      </c>
      <c r="C56" s="38"/>
      <c r="D56" s="38"/>
    </row>
    <row r="57" spans="1:6" ht="12.75">
      <c r="A57" s="40" t="s">
        <v>40</v>
      </c>
      <c r="B57" s="41"/>
      <c r="C57" s="41"/>
      <c r="D57" s="41"/>
      <c r="E57" s="175">
        <f>Rohertrag-VarKosten_ohne_VM</f>
        <v>11901</v>
      </c>
      <c r="F57" s="196"/>
    </row>
    <row r="58" spans="1:5" ht="12.75">
      <c r="A58" s="42" t="s">
        <v>41</v>
      </c>
      <c r="B58" s="37"/>
      <c r="C58" s="37"/>
      <c r="D58" s="43">
        <f>F102</f>
        <v>1360.8333333333335</v>
      </c>
      <c r="E58" s="125">
        <f>DB_pro_Einheit/Akh_pro_Kuh</f>
        <v>8.745376607470911</v>
      </c>
    </row>
    <row r="59" spans="1:5" ht="13.5" thickBot="1">
      <c r="A59" s="44" t="s">
        <v>42</v>
      </c>
      <c r="B59" s="45"/>
      <c r="C59" s="45"/>
      <c r="D59" s="46">
        <f>F104</f>
        <v>1728.8333333333335</v>
      </c>
      <c r="E59" s="126">
        <f>DB_pro_Einheit/Akh_pro_Kuh_incl_Futterwerbung</f>
        <v>6.8838330280536</v>
      </c>
    </row>
    <row r="60" ht="12.75"/>
    <row r="61" ht="12.75"/>
    <row r="62" spans="1:5" ht="12.75">
      <c r="A62" s="76" t="s">
        <v>43</v>
      </c>
      <c r="B62" s="77"/>
      <c r="C62" s="77"/>
      <c r="D62" s="77"/>
      <c r="E62" s="78" t="s">
        <v>23</v>
      </c>
    </row>
    <row r="63" spans="1:5" ht="12.75">
      <c r="A63" s="69" t="s">
        <v>29</v>
      </c>
      <c r="B63" s="34"/>
      <c r="C63" s="34"/>
      <c r="D63" s="123">
        <f aca="true" t="shared" si="0" ref="D63:D68">E47</f>
        <v>3000</v>
      </c>
      <c r="E63" s="79">
        <f>D63/P%</f>
        <v>19.44642509885266</v>
      </c>
    </row>
    <row r="64" spans="1:5" ht="12.75">
      <c r="A64" s="69" t="s">
        <v>33</v>
      </c>
      <c r="B64" s="34"/>
      <c r="C64" s="34"/>
      <c r="D64" s="123">
        <f t="shared" si="0"/>
        <v>5696</v>
      </c>
      <c r="E64" s="79">
        <f aca="true" t="shared" si="1" ref="E64:E69">D64/P%</f>
        <v>36.92227912102158</v>
      </c>
    </row>
    <row r="65" spans="1:5" ht="12.75">
      <c r="A65" s="69" t="s">
        <v>44</v>
      </c>
      <c r="B65" s="34"/>
      <c r="C65" s="34"/>
      <c r="D65" s="123">
        <f t="shared" si="0"/>
        <v>3174</v>
      </c>
      <c r="E65" s="79">
        <f t="shared" si="1"/>
        <v>20.574317754586115</v>
      </c>
    </row>
    <row r="66" spans="1:5" ht="12.75">
      <c r="A66" s="69" t="s">
        <v>45</v>
      </c>
      <c r="B66" s="34"/>
      <c r="C66" s="34"/>
      <c r="D66" s="123">
        <f t="shared" si="0"/>
        <v>108</v>
      </c>
      <c r="E66" s="79">
        <f t="shared" si="1"/>
        <v>0.7000713035586957</v>
      </c>
    </row>
    <row r="67" spans="1:5" ht="12.75">
      <c r="A67" s="69" t="s">
        <v>35</v>
      </c>
      <c r="B67" s="34"/>
      <c r="C67" s="34"/>
      <c r="D67" s="123">
        <f t="shared" si="0"/>
        <v>920</v>
      </c>
      <c r="E67" s="79">
        <f t="shared" si="1"/>
        <v>5.963570363648149</v>
      </c>
    </row>
    <row r="68" spans="1:5" ht="12.75">
      <c r="A68" s="72" t="s">
        <v>36</v>
      </c>
      <c r="B68" s="47"/>
      <c r="C68" s="47"/>
      <c r="D68" s="123">
        <f t="shared" si="0"/>
        <v>2529</v>
      </c>
      <c r="E68" s="80">
        <f t="shared" si="1"/>
        <v>16.393336358332792</v>
      </c>
    </row>
    <row r="69" spans="1:5" ht="12.75">
      <c r="A69" s="72" t="s">
        <v>46</v>
      </c>
      <c r="B69" s="47"/>
      <c r="C69" s="47"/>
      <c r="D69" s="188">
        <f>SUM(D63:D68)</f>
        <v>15427</v>
      </c>
      <c r="E69" s="80">
        <f t="shared" si="1"/>
        <v>100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spans="1:7" ht="15">
      <c r="A95" s="48" t="s">
        <v>47</v>
      </c>
      <c r="B95" s="48"/>
      <c r="C95" s="48"/>
      <c r="D95" s="48"/>
      <c r="E95" s="48"/>
      <c r="F95" s="49"/>
      <c r="G95" s="49"/>
    </row>
    <row r="96" ht="12.75"/>
    <row r="97" spans="1:7" ht="12.75">
      <c r="A97" s="76" t="s">
        <v>48</v>
      </c>
      <c r="B97" s="74"/>
      <c r="C97" s="127">
        <v>7.5</v>
      </c>
      <c r="D97" s="82" t="s">
        <v>117</v>
      </c>
      <c r="E97" s="67"/>
      <c r="F97" s="67"/>
      <c r="G97" s="68"/>
    </row>
    <row r="98" spans="1:7" ht="12.75">
      <c r="A98" s="69"/>
      <c r="B98" s="34" t="s">
        <v>49</v>
      </c>
      <c r="C98" s="34"/>
      <c r="D98" s="83" t="s">
        <v>50</v>
      </c>
      <c r="E98" s="83" t="s">
        <v>51</v>
      </c>
      <c r="F98" s="83" t="s">
        <v>52</v>
      </c>
      <c r="G98" s="71"/>
    </row>
    <row r="99" spans="1:7" ht="12.75">
      <c r="A99" s="69"/>
      <c r="B99" s="34" t="s">
        <v>54</v>
      </c>
      <c r="C99" s="34"/>
      <c r="D99" s="109">
        <v>150</v>
      </c>
      <c r="E99" s="109">
        <v>180</v>
      </c>
      <c r="F99" s="70">
        <f>D99*E99/60</f>
        <v>450</v>
      </c>
      <c r="G99" s="71"/>
    </row>
    <row r="100" spans="1:7" ht="12.75">
      <c r="A100" s="69"/>
      <c r="B100" s="34" t="s">
        <v>53</v>
      </c>
      <c r="C100" s="34"/>
      <c r="D100" s="83">
        <f>365-D99</f>
        <v>215</v>
      </c>
      <c r="E100" s="109">
        <v>250</v>
      </c>
      <c r="F100" s="70">
        <f>D100*E100/60</f>
        <v>895.8333333333334</v>
      </c>
      <c r="G100" s="71"/>
    </row>
    <row r="101" spans="1:7" ht="12.75">
      <c r="A101" s="69"/>
      <c r="B101" s="204" t="s">
        <v>115</v>
      </c>
      <c r="C101" s="204"/>
      <c r="D101" s="83"/>
      <c r="E101" s="34"/>
      <c r="F101" s="165">
        <v>15</v>
      </c>
      <c r="G101" s="71"/>
    </row>
    <row r="102" spans="1:8" ht="12.75">
      <c r="A102" s="69"/>
      <c r="C102" s="169"/>
      <c r="D102" s="203" t="s">
        <v>122</v>
      </c>
      <c r="E102" s="203"/>
      <c r="F102" s="170">
        <f>SUM(F99:F101)</f>
        <v>1360.8333333333335</v>
      </c>
      <c r="G102" s="71"/>
      <c r="H102" s="201"/>
    </row>
    <row r="103" spans="1:7" ht="12.75">
      <c r="A103" s="69"/>
      <c r="B103" s="34" t="s">
        <v>55</v>
      </c>
      <c r="C103" s="34"/>
      <c r="D103" s="171">
        <v>368</v>
      </c>
      <c r="E103" s="34" t="s">
        <v>137</v>
      </c>
      <c r="F103" s="70"/>
      <c r="G103" s="84"/>
    </row>
    <row r="104" spans="1:7" ht="13.5" thickBot="1">
      <c r="A104" s="69"/>
      <c r="B104" s="34" t="s">
        <v>136</v>
      </c>
      <c r="C104" s="34"/>
      <c r="D104" s="34"/>
      <c r="E104" s="34"/>
      <c r="F104" s="43">
        <f>F102+D103</f>
        <v>1728.8333333333335</v>
      </c>
      <c r="G104" s="71"/>
    </row>
    <row r="105" spans="1:7" ht="12.75">
      <c r="A105" s="72"/>
      <c r="B105" s="47" t="s">
        <v>48</v>
      </c>
      <c r="C105" s="47"/>
      <c r="D105" s="47"/>
      <c r="E105" s="47"/>
      <c r="F105" s="47"/>
      <c r="G105" s="128">
        <f>F104*C97</f>
        <v>12966.250000000002</v>
      </c>
    </row>
    <row r="106" ht="12.75">
      <c r="G106" s="39"/>
    </row>
    <row r="107" spans="1:7" ht="12.75">
      <c r="A107" s="76" t="s">
        <v>56</v>
      </c>
      <c r="B107" s="67"/>
      <c r="C107" s="67"/>
      <c r="D107" s="67"/>
      <c r="E107" s="67"/>
      <c r="F107" s="67"/>
      <c r="G107" s="68"/>
    </row>
    <row r="108" spans="1:7" ht="12.75">
      <c r="A108" s="85" t="s">
        <v>57</v>
      </c>
      <c r="B108" s="34" t="s">
        <v>149</v>
      </c>
      <c r="C108" s="34"/>
      <c r="D108" s="129">
        <v>80000</v>
      </c>
      <c r="E108" s="34"/>
      <c r="F108" s="34"/>
      <c r="G108" s="71"/>
    </row>
    <row r="109" spans="1:7" ht="12.75">
      <c r="A109" s="69"/>
      <c r="B109" s="34" t="s">
        <v>58</v>
      </c>
      <c r="C109" s="34"/>
      <c r="D109" s="110">
        <v>30</v>
      </c>
      <c r="E109" s="34" t="s">
        <v>13</v>
      </c>
      <c r="F109" s="34"/>
      <c r="G109" s="130">
        <f>D108/D109</f>
        <v>2666.6666666666665</v>
      </c>
    </row>
    <row r="110" spans="1:7" ht="12.75">
      <c r="A110" s="69"/>
      <c r="B110" s="34" t="s">
        <v>31</v>
      </c>
      <c r="C110" s="34"/>
      <c r="D110" s="87">
        <f>D35</f>
        <v>0.02</v>
      </c>
      <c r="E110" s="34" t="s">
        <v>142</v>
      </c>
      <c r="F110" s="34"/>
      <c r="G110" s="130">
        <f>D108*0.5*D110</f>
        <v>800</v>
      </c>
    </row>
    <row r="111" spans="1:7" ht="12.75">
      <c r="A111" s="69"/>
      <c r="B111" s="34" t="s">
        <v>59</v>
      </c>
      <c r="C111" s="34"/>
      <c r="D111" s="129">
        <v>470</v>
      </c>
      <c r="E111" s="34"/>
      <c r="F111" s="34"/>
      <c r="G111" s="130">
        <f>D111</f>
        <v>470</v>
      </c>
    </row>
    <row r="112" spans="1:7" ht="13.5" thickBot="1">
      <c r="A112" s="69"/>
      <c r="B112" s="34" t="s">
        <v>60</v>
      </c>
      <c r="C112" s="34"/>
      <c r="D112" s="115">
        <v>0.01</v>
      </c>
      <c r="E112" s="34" t="s">
        <v>109</v>
      </c>
      <c r="F112" s="34"/>
      <c r="G112" s="130">
        <f>D108*D112</f>
        <v>800</v>
      </c>
    </row>
    <row r="113" spans="1:7" ht="12.75">
      <c r="A113" s="72"/>
      <c r="B113" s="47" t="s">
        <v>61</v>
      </c>
      <c r="C113" s="47"/>
      <c r="D113" s="47"/>
      <c r="E113" s="47"/>
      <c r="F113" s="47"/>
      <c r="G113" s="128">
        <f>SUM(G109:G112)</f>
        <v>4736.666666666666</v>
      </c>
    </row>
    <row r="114" spans="1:7" ht="12.75">
      <c r="A114" s="88" t="s">
        <v>62</v>
      </c>
      <c r="B114" s="67" t="s">
        <v>63</v>
      </c>
      <c r="C114" s="67"/>
      <c r="D114" s="67"/>
      <c r="E114" s="131">
        <v>6000</v>
      </c>
      <c r="F114" s="67" t="s">
        <v>138</v>
      </c>
      <c r="G114" s="116"/>
    </row>
    <row r="115" spans="1:7" ht="12.75">
      <c r="A115" s="69"/>
      <c r="B115" s="34" t="s">
        <v>58</v>
      </c>
      <c r="C115" s="34"/>
      <c r="D115" s="34"/>
      <c r="E115" s="110">
        <v>12</v>
      </c>
      <c r="F115" s="34" t="s">
        <v>13</v>
      </c>
      <c r="G115" s="130">
        <f>E114/E115</f>
        <v>500</v>
      </c>
    </row>
    <row r="116" spans="1:7" ht="13.5" thickBot="1">
      <c r="A116" s="69"/>
      <c r="B116" s="34" t="s">
        <v>31</v>
      </c>
      <c r="C116" s="34"/>
      <c r="D116" s="34"/>
      <c r="E116" s="87">
        <f>D35</f>
        <v>0.02</v>
      </c>
      <c r="F116" s="34" t="s">
        <v>142</v>
      </c>
      <c r="G116" s="130">
        <f>E114*E116*0.5</f>
        <v>60</v>
      </c>
    </row>
    <row r="117" spans="1:7" ht="13.5" thickBot="1">
      <c r="A117" s="69"/>
      <c r="B117" s="34" t="s">
        <v>64</v>
      </c>
      <c r="C117" s="34"/>
      <c r="D117" s="34"/>
      <c r="E117" s="34"/>
      <c r="F117" s="34"/>
      <c r="G117" s="132">
        <f>G116+G115</f>
        <v>560</v>
      </c>
    </row>
    <row r="118" spans="1:7" ht="13.5" thickBot="1">
      <c r="A118" s="69"/>
      <c r="B118" s="34"/>
      <c r="C118" s="34"/>
      <c r="D118" s="34"/>
      <c r="E118" s="34"/>
      <c r="F118" s="34"/>
      <c r="G118" s="130"/>
    </row>
    <row r="119" spans="1:7" ht="12.75">
      <c r="A119" s="89" t="s">
        <v>62</v>
      </c>
      <c r="B119" s="47" t="s">
        <v>65</v>
      </c>
      <c r="C119" s="47"/>
      <c r="D119" s="47"/>
      <c r="E119" s="199">
        <v>5417</v>
      </c>
      <c r="F119" s="47"/>
      <c r="G119" s="128">
        <f>E119</f>
        <v>5417</v>
      </c>
    </row>
    <row r="120" ht="12.75">
      <c r="G120" s="39"/>
    </row>
    <row r="121" spans="1:7" ht="12.75">
      <c r="A121" s="76" t="s">
        <v>66</v>
      </c>
      <c r="B121" s="77"/>
      <c r="C121" s="67"/>
      <c r="D121" s="67"/>
      <c r="E121" s="67"/>
      <c r="F121" s="67"/>
      <c r="G121" s="116"/>
    </row>
    <row r="122" spans="1:7" ht="12.75">
      <c r="A122" s="85" t="s">
        <v>110</v>
      </c>
      <c r="B122" s="34"/>
      <c r="C122" s="34"/>
      <c r="D122" s="87"/>
      <c r="E122" s="34"/>
      <c r="F122" s="34"/>
      <c r="G122" s="86"/>
    </row>
    <row r="123" spans="1:7" ht="13.5" thickBot="1">
      <c r="A123" s="69"/>
      <c r="B123" s="34" t="s">
        <v>139</v>
      </c>
      <c r="C123" s="34"/>
      <c r="E123" s="129">
        <v>3000</v>
      </c>
      <c r="F123" s="34"/>
      <c r="G123" s="86"/>
    </row>
    <row r="124" spans="1:7" ht="12.75">
      <c r="A124" s="72"/>
      <c r="B124" s="47"/>
      <c r="C124" s="47"/>
      <c r="D124" s="47"/>
      <c r="E124" s="47"/>
      <c r="F124" s="47"/>
      <c r="G124" s="128">
        <f>E123</f>
        <v>3000</v>
      </c>
    </row>
    <row r="125" ht="12.75">
      <c r="G125" s="133"/>
    </row>
    <row r="126" spans="1:7" ht="13.5" thickBot="1">
      <c r="A126" s="88" t="s">
        <v>67</v>
      </c>
      <c r="B126" s="67"/>
      <c r="C126" s="67"/>
      <c r="D126" s="67" t="s">
        <v>68</v>
      </c>
      <c r="E126" s="67"/>
      <c r="F126" s="67"/>
      <c r="G126" s="134"/>
    </row>
    <row r="127" spans="1:7" ht="12.75">
      <c r="A127" s="72"/>
      <c r="B127" s="47" t="s">
        <v>69</v>
      </c>
      <c r="C127" s="47"/>
      <c r="D127" s="135">
        <v>2000</v>
      </c>
      <c r="E127" s="47" t="s">
        <v>127</v>
      </c>
      <c r="F127" s="91"/>
      <c r="G127" s="128">
        <f>D127</f>
        <v>2000</v>
      </c>
    </row>
    <row r="129" spans="1:7" ht="13.5" thickBot="1">
      <c r="A129" s="92" t="s">
        <v>70</v>
      </c>
      <c r="B129" s="93"/>
      <c r="C129" s="94"/>
      <c r="D129" s="67"/>
      <c r="E129" s="67"/>
      <c r="F129" s="67"/>
      <c r="G129" s="68"/>
    </row>
    <row r="130" spans="1:7" ht="12.75">
      <c r="A130" s="69"/>
      <c r="B130" s="34" t="s">
        <v>28</v>
      </c>
      <c r="C130" s="34"/>
      <c r="D130" s="34"/>
      <c r="E130" s="34"/>
      <c r="F130" s="123">
        <f>D69</f>
        <v>15427</v>
      </c>
      <c r="G130" s="71"/>
    </row>
    <row r="131" spans="1:7" ht="12.75">
      <c r="A131" s="69"/>
      <c r="B131" s="34" t="s">
        <v>48</v>
      </c>
      <c r="C131" s="34"/>
      <c r="D131" s="34"/>
      <c r="E131" s="34"/>
      <c r="F131" s="123">
        <f>G105</f>
        <v>12966.250000000002</v>
      </c>
      <c r="G131" s="71"/>
    </row>
    <row r="132" spans="1:7" ht="12.75">
      <c r="A132" s="69"/>
      <c r="B132" s="34" t="s">
        <v>56</v>
      </c>
      <c r="C132" s="34"/>
      <c r="D132" s="34"/>
      <c r="E132" s="34"/>
      <c r="F132" s="123">
        <f>G113+G117+G119</f>
        <v>10713.666666666666</v>
      </c>
      <c r="G132" s="71"/>
    </row>
    <row r="133" spans="1:7" ht="13.5" thickBot="1">
      <c r="A133" s="69"/>
      <c r="B133" s="34" t="s">
        <v>66</v>
      </c>
      <c r="C133" s="34"/>
      <c r="D133" s="34"/>
      <c r="E133" s="34"/>
      <c r="F133" s="123">
        <f>G124+G127</f>
        <v>5000</v>
      </c>
      <c r="G133" s="71"/>
    </row>
    <row r="134" spans="1:7" ht="13.5" thickBot="1">
      <c r="A134" s="69"/>
      <c r="B134" s="37" t="s">
        <v>71</v>
      </c>
      <c r="C134" s="34"/>
      <c r="D134" s="34"/>
      <c r="E134" s="34"/>
      <c r="F134" s="34"/>
      <c r="G134" s="132">
        <f>SUM(F130:F133)</f>
        <v>44106.916666666664</v>
      </c>
    </row>
    <row r="135" spans="1:7" ht="12.75">
      <c r="A135" s="69"/>
      <c r="B135" s="34" t="s">
        <v>72</v>
      </c>
      <c r="C135" s="34" t="s">
        <v>25</v>
      </c>
      <c r="D135" s="34"/>
      <c r="E135" s="34"/>
      <c r="F135" s="123">
        <f>E39</f>
        <v>1600</v>
      </c>
      <c r="G135" s="71"/>
    </row>
    <row r="136" spans="1:7" ht="12.75">
      <c r="A136" s="69"/>
      <c r="B136" s="34"/>
      <c r="C136" s="34" t="s">
        <v>73</v>
      </c>
      <c r="D136" s="34"/>
      <c r="E136" s="34"/>
      <c r="F136" s="123">
        <f>E40+E41</f>
        <v>1728</v>
      </c>
      <c r="G136" s="71"/>
    </row>
    <row r="137" spans="1:7" ht="12.75">
      <c r="A137" s="69"/>
      <c r="B137" s="34"/>
      <c r="C137" s="34" t="s">
        <v>36</v>
      </c>
      <c r="D137" s="34"/>
      <c r="E137" s="34"/>
      <c r="F137" s="129">
        <f>sonstiges</f>
        <v>0</v>
      </c>
      <c r="G137" s="71"/>
    </row>
    <row r="138" spans="1:7" ht="12.75">
      <c r="A138" s="69"/>
      <c r="B138" s="37" t="s">
        <v>74</v>
      </c>
      <c r="C138" s="34"/>
      <c r="D138" s="34"/>
      <c r="E138" s="34"/>
      <c r="F138" s="34"/>
      <c r="G138" s="71"/>
    </row>
    <row r="139" spans="1:7" ht="15" customHeight="1">
      <c r="A139" s="69"/>
      <c r="B139" s="95" t="str">
        <f>CONCATENATE("bezogen auf ",Gesamtgemelk," kg Milch")</f>
        <v>bezogen auf 52700 kg Milch</v>
      </c>
      <c r="C139" s="95"/>
      <c r="D139" s="95"/>
      <c r="E139" s="95"/>
      <c r="F139" s="95"/>
      <c r="G139" s="136">
        <f>G134-(F135+F136+F137)</f>
        <v>40778.916666666664</v>
      </c>
    </row>
    <row r="140" spans="1:7" ht="15.75" customHeight="1">
      <c r="A140" s="72"/>
      <c r="B140" s="96" t="s">
        <v>112</v>
      </c>
      <c r="C140" s="96"/>
      <c r="D140" s="96"/>
      <c r="E140" s="96"/>
      <c r="F140" s="96"/>
      <c r="G140" s="137">
        <f>G139/Gesamtgemelk</f>
        <v>0.7737934851359899</v>
      </c>
    </row>
    <row r="142" spans="1:7" ht="13.5" thickBot="1">
      <c r="A142" s="97" t="s">
        <v>75</v>
      </c>
      <c r="B142" s="98"/>
      <c r="C142" s="99"/>
      <c r="D142" s="67"/>
      <c r="E142" s="67"/>
      <c r="F142" s="67"/>
      <c r="G142" s="68"/>
    </row>
    <row r="143" spans="1:7" ht="12.75">
      <c r="A143" s="69"/>
      <c r="B143" s="34" t="s">
        <v>24</v>
      </c>
      <c r="C143" s="34"/>
      <c r="D143" s="195">
        <f>D28</f>
        <v>0.48</v>
      </c>
      <c r="E143" s="34" t="str">
        <f>CONCATENATE("für ",Marktleistung," kg ")</f>
        <v>für 50000 kg </v>
      </c>
      <c r="F143" s="34"/>
      <c r="G143" s="71"/>
    </row>
    <row r="144" spans="1:7" ht="12.75">
      <c r="A144" s="69"/>
      <c r="B144" s="34" t="s">
        <v>76</v>
      </c>
      <c r="C144" s="34"/>
      <c r="D144" s="195">
        <f>G140</f>
        <v>0.7737934851359899</v>
      </c>
      <c r="E144" s="34" t="str">
        <f>CONCATENATE("für ",Gesamtgemelk," kg ")</f>
        <v>für 52700 kg </v>
      </c>
      <c r="F144" s="34"/>
      <c r="G144" s="71"/>
    </row>
    <row r="145" spans="1:7" ht="13.5" thickBot="1">
      <c r="A145" s="69"/>
      <c r="B145" s="34" t="s">
        <v>77</v>
      </c>
      <c r="C145" s="34"/>
      <c r="D145" s="195">
        <f>D143*Marktleistung-D144*Gesamtgemelk</f>
        <v>-16778.916666666664</v>
      </c>
      <c r="E145" s="34"/>
      <c r="F145" s="34"/>
      <c r="G145" s="71"/>
    </row>
    <row r="146" spans="1:7" ht="13.5" thickBot="1">
      <c r="A146" s="100" t="s">
        <v>78</v>
      </c>
      <c r="B146" s="52"/>
      <c r="C146" s="138">
        <f>G105</f>
        <v>12966.250000000002</v>
      </c>
      <c r="D146" s="52" t="s">
        <v>79</v>
      </c>
      <c r="E146" s="52"/>
      <c r="F146" s="138">
        <f>D145</f>
        <v>-16778.916666666664</v>
      </c>
      <c r="G146" s="101"/>
    </row>
    <row r="147" spans="1:7" ht="13.5" thickBot="1">
      <c r="A147" s="102" t="s">
        <v>80</v>
      </c>
      <c r="B147" s="24"/>
      <c r="C147" s="24"/>
      <c r="D147" s="24"/>
      <c r="E147" s="24"/>
      <c r="F147" s="139">
        <f>C146+F146</f>
        <v>-3812.6666666666624</v>
      </c>
      <c r="G147" s="103"/>
    </row>
    <row r="148" spans="1:7" ht="12.75">
      <c r="A148" s="104"/>
      <c r="B148" s="105"/>
      <c r="C148" s="105"/>
      <c r="D148" s="105"/>
      <c r="E148" s="105" t="s">
        <v>81</v>
      </c>
      <c r="F148" s="140">
        <f>F147/F104</f>
        <v>-2.205340788585749</v>
      </c>
      <c r="G148" s="106" t="s">
        <v>82</v>
      </c>
    </row>
    <row r="149" ht="13.5" thickBot="1"/>
    <row r="150" spans="2:7" ht="13.5" thickBot="1">
      <c r="B150" s="53" t="s">
        <v>83</v>
      </c>
      <c r="C150" s="50" t="s">
        <v>84</v>
      </c>
      <c r="D150" s="51"/>
      <c r="F150" s="202" t="s">
        <v>148</v>
      </c>
      <c r="G150" s="202"/>
    </row>
    <row r="151" spans="2:7" ht="15.75" thickBot="1">
      <c r="B151" s="157">
        <f>D28</f>
        <v>0.48</v>
      </c>
      <c r="C151" s="189">
        <f>F147/F104</f>
        <v>-2.205340788585749</v>
      </c>
      <c r="D151" s="151"/>
      <c r="F151" s="202"/>
      <c r="G151" s="202"/>
    </row>
    <row r="152" spans="2:7" ht="15">
      <c r="B152" s="158">
        <v>0.35</v>
      </c>
      <c r="C152" s="190">
        <f t="dataTable" ref="C152:C161" dt2D="0" dtr="0" r1="D28"/>
        <v>-5.965101706353029</v>
      </c>
      <c r="D152" s="152"/>
      <c r="F152" s="202"/>
      <c r="G152" s="202"/>
    </row>
    <row r="153" spans="2:7" ht="15">
      <c r="B153" s="159">
        <v>0.37</v>
      </c>
      <c r="C153" s="190">
        <v>-5.386676949773447</v>
      </c>
      <c r="D153" s="152"/>
      <c r="F153" s="202"/>
      <c r="G153" s="202"/>
    </row>
    <row r="154" spans="2:7" ht="15">
      <c r="B154" s="159">
        <v>0.39</v>
      </c>
      <c r="C154" s="190">
        <v>-4.808252193193866</v>
      </c>
      <c r="D154" s="152"/>
      <c r="F154" s="202"/>
      <c r="G154" s="202"/>
    </row>
    <row r="155" spans="2:7" ht="15">
      <c r="B155" s="159">
        <v>0.43</v>
      </c>
      <c r="C155" s="190">
        <v>-3.651402680034703</v>
      </c>
      <c r="D155" s="152"/>
      <c r="F155" s="202"/>
      <c r="G155" s="202"/>
    </row>
    <row r="156" spans="2:7" ht="15">
      <c r="B156" s="159">
        <v>0.47</v>
      </c>
      <c r="C156" s="190">
        <v>-2.4945531668755394</v>
      </c>
      <c r="D156" s="152"/>
      <c r="F156" s="202"/>
      <c r="G156" s="202"/>
    </row>
    <row r="157" spans="2:7" ht="15">
      <c r="B157" s="159">
        <v>0.51</v>
      </c>
      <c r="C157" s="190">
        <v>-1.3377036537163765</v>
      </c>
      <c r="D157" s="152"/>
      <c r="F157" s="202"/>
      <c r="G157" s="202"/>
    </row>
    <row r="158" spans="2:7" ht="15.75" thickBot="1">
      <c r="B158" s="160">
        <v>0.55</v>
      </c>
      <c r="C158" s="191">
        <v>-0.18085414055721127</v>
      </c>
      <c r="D158" s="153"/>
      <c r="F158" s="202"/>
      <c r="G158" s="202"/>
    </row>
    <row r="159" spans="2:7" ht="15">
      <c r="B159" s="161">
        <v>0.6</v>
      </c>
      <c r="C159" s="192">
        <v>1.2652077508917405</v>
      </c>
      <c r="D159" s="154"/>
      <c r="F159" s="202"/>
      <c r="G159" s="202"/>
    </row>
    <row r="160" spans="2:7" ht="15">
      <c r="B160" s="162">
        <v>0.7</v>
      </c>
      <c r="C160" s="193">
        <v>4.157331533789648</v>
      </c>
      <c r="D160" s="155"/>
      <c r="F160" s="202"/>
      <c r="G160" s="202"/>
    </row>
    <row r="161" spans="2:7" ht="15.75" thickBot="1">
      <c r="B161" s="163">
        <v>0.8</v>
      </c>
      <c r="C161" s="194">
        <v>7.049455316687556</v>
      </c>
      <c r="D161" s="156"/>
      <c r="F161" s="202"/>
      <c r="G161" s="202"/>
    </row>
    <row r="162" spans="6:7" ht="12.75">
      <c r="F162" s="198"/>
      <c r="G162" s="198"/>
    </row>
  </sheetData>
  <sheetProtection/>
  <mergeCells count="10">
    <mergeCell ref="F150:G161"/>
    <mergeCell ref="D102:E102"/>
    <mergeCell ref="B101:C101"/>
    <mergeCell ref="A1:G1"/>
    <mergeCell ref="A2:H2"/>
    <mergeCell ref="A21:C21"/>
    <mergeCell ref="A3:H3"/>
    <mergeCell ref="A6:C6"/>
    <mergeCell ref="A4:G4"/>
    <mergeCell ref="H5:I5"/>
  </mergeCells>
  <hyperlinks>
    <hyperlink ref="H4" r:id="rId1" display="Fragen?"/>
    <hyperlink ref="H5:I5" r:id="rId2" display="http://blrw.twoday.net/"/>
  </hyperlinks>
  <printOptions horizontalCentered="1"/>
  <pageMargins left="0.7874015748031497" right="0.7874015748031497" top="0.984251968503937" bottom="0.984251968503937" header="0.5118110236220472" footer="0.5118110236220472"/>
  <pageSetup fitToHeight="0" fitToWidth="1" orientation="portrait" paperSize="9" scale="56" r:id="rId6"/>
  <headerFooter alignWithMargins="0">
    <oddFooter>&amp;L&amp;F&amp;C&amp;D&amp;R&amp;P von &amp;N</oddFooter>
  </headerFooter>
  <rowBreaks count="2" manualBreakCount="2">
    <brk id="35" max="255" man="1"/>
    <brk id="93" max="255" man="1"/>
  </rowBreaks>
  <ignoredErrors>
    <ignoredError sqref="D12" unlockedFormula="1"/>
  </ignoredErrors>
  <drawing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RowColHeaders="0" showZeros="0" defaultGridColor="0" zoomScalePageLayoutView="0" colorId="17" workbookViewId="0" topLeftCell="A1">
      <selection activeCell="A4" sqref="A4:H4"/>
    </sheetView>
  </sheetViews>
  <sheetFormatPr defaultColWidth="11.421875" defaultRowHeight="12.75"/>
  <cols>
    <col min="1" max="1" width="13.140625" style="5" customWidth="1"/>
    <col min="2" max="2" width="17.7109375" style="5" customWidth="1"/>
    <col min="3" max="3" width="11.421875" style="5" customWidth="1"/>
    <col min="4" max="4" width="13.7109375" style="5" customWidth="1"/>
    <col min="5" max="5" width="13.8515625" style="5" customWidth="1"/>
    <col min="6" max="7" width="12.00390625" style="5" customWidth="1"/>
    <col min="8" max="16384" width="11.421875" style="5" customWidth="1"/>
  </cols>
  <sheetData>
    <row r="1" spans="1:6" ht="21" customHeight="1" thickBot="1">
      <c r="A1" s="3" t="s">
        <v>9</v>
      </c>
      <c r="B1" s="15"/>
      <c r="C1" s="15"/>
      <c r="D1" s="6"/>
      <c r="E1" s="16" t="s">
        <v>85</v>
      </c>
      <c r="F1" s="17"/>
    </row>
    <row r="2" spans="1:3" ht="13.5" thickBot="1">
      <c r="A2" s="117" t="str">
        <f>CONCATENATE(Gesamtgemelk,"kg Gesamtmilchleistung")</f>
        <v>52700kg Gesamtmilchleistung</v>
      </c>
      <c r="B2" s="118"/>
      <c r="C2" s="118"/>
    </row>
    <row r="3" ht="13.5" thickBot="1"/>
    <row r="4" spans="1:8" ht="22.5" customHeight="1" thickBot="1" thickTop="1">
      <c r="A4" s="216" t="str">
        <f>CONCATENATE("Futterkosten alle Kühe mit ",A2)</f>
        <v>Futterkosten alle Kühe mit 52700kg Gesamtmilchleistung</v>
      </c>
      <c r="B4" s="217"/>
      <c r="C4" s="217"/>
      <c r="D4" s="217"/>
      <c r="E4" s="217"/>
      <c r="F4" s="217"/>
      <c r="G4" s="217"/>
      <c r="H4" s="218"/>
    </row>
    <row r="5" spans="1:8" ht="14.25" thickBot="1" thickTop="1">
      <c r="A5" s="119" t="s">
        <v>33</v>
      </c>
      <c r="B5" s="200">
        <v>5696</v>
      </c>
      <c r="C5" s="221" t="s">
        <v>131</v>
      </c>
      <c r="D5" s="221"/>
      <c r="E5" s="167" t="s">
        <v>127</v>
      </c>
      <c r="F5" s="144">
        <f>B5</f>
        <v>5696</v>
      </c>
      <c r="G5" s="143"/>
      <c r="H5" s="8"/>
    </row>
    <row r="6" spans="1:8" ht="14.25" thickBot="1" thickTop="1">
      <c r="A6" s="14" t="s">
        <v>145</v>
      </c>
      <c r="B6" s="172">
        <v>0</v>
      </c>
      <c r="C6" s="221" t="s">
        <v>131</v>
      </c>
      <c r="D6" s="221"/>
      <c r="E6" s="141"/>
      <c r="F6" s="166">
        <f>B6*E6</f>
        <v>0</v>
      </c>
      <c r="G6" s="143"/>
      <c r="H6" s="8"/>
    </row>
    <row r="7" spans="1:8" ht="14.25" thickBot="1" thickTop="1">
      <c r="A7" s="120" t="s">
        <v>120</v>
      </c>
      <c r="B7" s="172">
        <v>5500</v>
      </c>
      <c r="C7" s="221" t="s">
        <v>131</v>
      </c>
      <c r="D7" s="221"/>
      <c r="E7" s="141">
        <v>0.54</v>
      </c>
      <c r="F7" s="166">
        <f>B7*E7</f>
        <v>2970</v>
      </c>
      <c r="G7" s="143"/>
      <c r="H7" s="8"/>
    </row>
    <row r="8" spans="1:8" ht="14.25" thickBot="1" thickTop="1">
      <c r="A8" s="14" t="s">
        <v>121</v>
      </c>
      <c r="B8" s="172">
        <v>200</v>
      </c>
      <c r="C8" s="221" t="s">
        <v>131</v>
      </c>
      <c r="D8" s="221"/>
      <c r="E8" s="141">
        <v>1.02</v>
      </c>
      <c r="F8" s="142">
        <f>B8*E8</f>
        <v>204</v>
      </c>
      <c r="G8" s="143"/>
      <c r="H8" s="8"/>
    </row>
    <row r="9" spans="1:8" ht="13.5" thickBot="1">
      <c r="A9" s="14" t="s">
        <v>86</v>
      </c>
      <c r="B9" s="10"/>
      <c r="C9" s="10"/>
      <c r="D9" s="168"/>
      <c r="E9" s="10"/>
      <c r="F9" s="145"/>
      <c r="G9" s="146">
        <f>F5</f>
        <v>5696</v>
      </c>
      <c r="H9" s="8"/>
    </row>
    <row r="10" spans="1:8" ht="13.5" thickBot="1">
      <c r="A10" s="14" t="s">
        <v>146</v>
      </c>
      <c r="B10" s="10"/>
      <c r="C10" s="10"/>
      <c r="D10" s="10"/>
      <c r="E10" s="10"/>
      <c r="F10" s="145"/>
      <c r="G10" s="146">
        <f>F8+F7+F6</f>
        <v>3174</v>
      </c>
      <c r="H10" s="8"/>
    </row>
    <row r="11" spans="1:8" ht="13.5" thickBot="1">
      <c r="A11" s="14" t="s">
        <v>87</v>
      </c>
      <c r="B11" s="10"/>
      <c r="C11" s="10"/>
      <c r="D11" s="10"/>
      <c r="E11" s="10"/>
      <c r="F11" s="145"/>
      <c r="G11" s="146">
        <f>G10+G9</f>
        <v>8870</v>
      </c>
      <c r="H11" s="8"/>
    </row>
    <row r="12" spans="1:8" ht="13.5" thickBot="1">
      <c r="A12" s="19"/>
      <c r="B12" s="20"/>
      <c r="C12" s="20"/>
      <c r="D12" s="20"/>
      <c r="E12" s="20"/>
      <c r="F12" s="20"/>
      <c r="G12" s="20"/>
      <c r="H12" s="21"/>
    </row>
    <row r="13" spans="1:8" ht="14.25" thickBot="1" thickTop="1">
      <c r="A13" s="22"/>
      <c r="B13" s="22"/>
      <c r="C13" s="22"/>
      <c r="D13" s="22"/>
      <c r="E13" s="22"/>
      <c r="F13" s="22"/>
      <c r="G13" s="22"/>
      <c r="H13" s="22"/>
    </row>
    <row r="14" spans="1:8" ht="18.75" thickTop="1">
      <c r="A14" s="216" t="s">
        <v>140</v>
      </c>
      <c r="B14" s="217"/>
      <c r="C14" s="217"/>
      <c r="D14" s="217"/>
      <c r="E14" s="217"/>
      <c r="F14" s="217"/>
      <c r="G14" s="217"/>
      <c r="H14" s="218"/>
    </row>
    <row r="15" spans="1:8" ht="12.75">
      <c r="A15" s="23" t="s">
        <v>88</v>
      </c>
      <c r="B15" s="24"/>
      <c r="C15" s="24">
        <f>Verkaufsgewicht_Kälber</f>
        <v>80</v>
      </c>
      <c r="D15" s="24" t="s">
        <v>89</v>
      </c>
      <c r="E15" s="24"/>
      <c r="F15" s="24"/>
      <c r="G15" s="25"/>
      <c r="H15" s="26"/>
    </row>
    <row r="16" spans="1:8" ht="12.75">
      <c r="A16" s="27" t="s">
        <v>133</v>
      </c>
      <c r="B16" s="4"/>
      <c r="C16" s="111">
        <v>300</v>
      </c>
      <c r="D16" s="4"/>
      <c r="E16" s="4"/>
      <c r="F16" s="148"/>
      <c r="G16" s="25"/>
      <c r="H16" s="26"/>
    </row>
    <row r="17" spans="1:8" ht="12.75">
      <c r="A17" s="219" t="s">
        <v>116</v>
      </c>
      <c r="B17" s="220"/>
      <c r="C17" s="111">
        <v>0</v>
      </c>
      <c r="D17" s="4" t="s">
        <v>90</v>
      </c>
      <c r="E17" s="147">
        <v>0.29</v>
      </c>
      <c r="F17" s="148">
        <f>E17*C17</f>
        <v>0</v>
      </c>
      <c r="G17" s="25"/>
      <c r="H17" s="26"/>
    </row>
    <row r="18" spans="1:8" ht="13.5" thickBot="1">
      <c r="A18" s="27" t="s">
        <v>134</v>
      </c>
      <c r="B18" s="4"/>
      <c r="C18" s="4"/>
      <c r="D18" s="4"/>
      <c r="E18" s="4"/>
      <c r="F18" s="147">
        <v>12</v>
      </c>
      <c r="G18" s="25"/>
      <c r="H18" s="26"/>
    </row>
    <row r="19" spans="1:8" ht="13.5" thickBot="1">
      <c r="A19" s="28" t="s">
        <v>91</v>
      </c>
      <c r="B19" s="6"/>
      <c r="C19" s="6"/>
      <c r="D19" s="6"/>
      <c r="E19" s="6"/>
      <c r="F19" s="6"/>
      <c r="G19" s="149">
        <f>VarKosten_Verfütterungsmilch+Kälberaufzuchtfutter+Tierarztpauschale</f>
        <v>12</v>
      </c>
      <c r="H19" s="26"/>
    </row>
    <row r="20" spans="1:8" ht="13.5" thickBot="1">
      <c r="A20" s="29" t="s">
        <v>132</v>
      </c>
      <c r="B20" s="25"/>
      <c r="C20" s="25"/>
      <c r="D20" s="25"/>
      <c r="E20" s="25"/>
      <c r="F20" s="24">
        <f>AnzK</f>
        <v>9</v>
      </c>
      <c r="G20" s="150">
        <f>Kälberaufzuchtkosten_mit_VM*F20</f>
        <v>108</v>
      </c>
      <c r="H20" s="26"/>
    </row>
    <row r="21" spans="1:8" ht="13.5" thickBot="1">
      <c r="A21" s="30"/>
      <c r="B21" s="31"/>
      <c r="C21" s="31"/>
      <c r="D21" s="31"/>
      <c r="E21" s="31"/>
      <c r="F21" s="31"/>
      <c r="G21" s="31"/>
      <c r="H21" s="32"/>
    </row>
    <row r="22" spans="6:7" ht="14.25" thickBot="1" thickTop="1">
      <c r="F22" s="33"/>
      <c r="G22" s="22"/>
    </row>
    <row r="23" spans="1:8" ht="18.75" thickTop="1">
      <c r="A23" s="216" t="s">
        <v>108</v>
      </c>
      <c r="B23" s="217"/>
      <c r="C23" s="217"/>
      <c r="D23" s="217"/>
      <c r="E23" s="217"/>
      <c r="F23" s="217"/>
      <c r="G23" s="217"/>
      <c r="H23" s="218"/>
    </row>
    <row r="24" spans="1:8" ht="12.75">
      <c r="A24" s="23" t="s">
        <v>92</v>
      </c>
      <c r="B24" s="24"/>
      <c r="C24" s="24"/>
      <c r="D24" s="24"/>
      <c r="E24" s="24"/>
      <c r="F24" s="24"/>
      <c r="G24" s="7"/>
      <c r="H24" s="8"/>
    </row>
    <row r="25" spans="1:8" ht="12.75">
      <c r="A25" s="9"/>
      <c r="B25" s="4" t="s">
        <v>93</v>
      </c>
      <c r="C25" s="4"/>
      <c r="D25" s="4"/>
      <c r="E25" s="4"/>
      <c r="F25" s="147">
        <v>250</v>
      </c>
      <c r="G25" s="7"/>
      <c r="H25" s="8"/>
    </row>
    <row r="26" spans="1:8" ht="12.75">
      <c r="A26" s="9"/>
      <c r="B26" s="4" t="s">
        <v>94</v>
      </c>
      <c r="C26" s="4"/>
      <c r="D26" s="4"/>
      <c r="E26" s="4"/>
      <c r="F26" s="147">
        <v>300</v>
      </c>
      <c r="G26" s="7"/>
      <c r="H26" s="8"/>
    </row>
    <row r="27" spans="1:8" ht="12.75">
      <c r="A27" s="9"/>
      <c r="B27" s="4" t="s">
        <v>95</v>
      </c>
      <c r="C27" s="4"/>
      <c r="D27" s="4"/>
      <c r="E27" s="4"/>
      <c r="F27" s="147">
        <v>300</v>
      </c>
      <c r="G27" s="7"/>
      <c r="H27" s="8"/>
    </row>
    <row r="28" spans="1:8" ht="13.5" thickBot="1">
      <c r="A28" s="9"/>
      <c r="B28" s="4" t="s">
        <v>96</v>
      </c>
      <c r="C28" s="4"/>
      <c r="D28" s="4"/>
      <c r="E28" s="4"/>
      <c r="F28" s="147">
        <v>70</v>
      </c>
      <c r="G28" s="7"/>
      <c r="H28" s="8"/>
    </row>
    <row r="29" spans="1:8" ht="13.5" thickBot="1">
      <c r="A29" s="9"/>
      <c r="B29" s="18" t="s">
        <v>46</v>
      </c>
      <c r="C29" s="6"/>
      <c r="D29" s="6"/>
      <c r="E29" s="6"/>
      <c r="F29" s="6"/>
      <c r="G29" s="149">
        <f>SUM(F25:F28)</f>
        <v>920</v>
      </c>
      <c r="H29" s="8"/>
    </row>
    <row r="30" spans="1:8" ht="13.5" thickBot="1">
      <c r="A30" s="11"/>
      <c r="B30" s="12"/>
      <c r="C30" s="12"/>
      <c r="D30" s="12"/>
      <c r="E30" s="12"/>
      <c r="F30" s="12"/>
      <c r="G30" s="12"/>
      <c r="H30" s="13"/>
    </row>
    <row r="31" ht="14.25" thickBot="1" thickTop="1"/>
    <row r="32" spans="1:8" ht="18.75" thickTop="1">
      <c r="A32" s="216" t="s">
        <v>97</v>
      </c>
      <c r="B32" s="217"/>
      <c r="C32" s="217"/>
      <c r="D32" s="217"/>
      <c r="E32" s="217"/>
      <c r="F32" s="217"/>
      <c r="G32" s="217"/>
      <c r="H32" s="218"/>
    </row>
    <row r="33" spans="1:8" ht="12.75">
      <c r="A33" s="23" t="s">
        <v>135</v>
      </c>
      <c r="B33" s="24"/>
      <c r="C33" s="25"/>
      <c r="D33" s="25"/>
      <c r="E33" s="25"/>
      <c r="F33" s="25"/>
      <c r="G33" s="25"/>
      <c r="H33" s="26"/>
    </row>
    <row r="34" spans="1:8" ht="12.75">
      <c r="A34" s="27" t="s">
        <v>98</v>
      </c>
      <c r="B34" s="4"/>
      <c r="C34" s="4"/>
      <c r="D34" s="4"/>
      <c r="E34" s="4"/>
      <c r="F34" s="147">
        <v>360</v>
      </c>
      <c r="G34" s="25"/>
      <c r="H34" s="26"/>
    </row>
    <row r="35" spans="1:8" ht="12.75">
      <c r="A35" s="27" t="s">
        <v>99</v>
      </c>
      <c r="B35" s="4"/>
      <c r="C35" s="111">
        <v>13</v>
      </c>
      <c r="D35" s="4" t="s">
        <v>100</v>
      </c>
      <c r="E35" s="147">
        <v>40</v>
      </c>
      <c r="F35" s="148">
        <f>E35*C35</f>
        <v>520</v>
      </c>
      <c r="G35" s="25"/>
      <c r="H35" s="26"/>
    </row>
    <row r="36" spans="1:8" ht="12.75">
      <c r="A36" s="27" t="s">
        <v>101</v>
      </c>
      <c r="B36" s="4"/>
      <c r="C36" s="4"/>
      <c r="D36" s="4"/>
      <c r="E36" s="4"/>
      <c r="F36" s="147">
        <v>250</v>
      </c>
      <c r="G36" s="25"/>
      <c r="H36" s="26"/>
    </row>
    <row r="37" spans="1:8" ht="12.75">
      <c r="A37" s="27" t="s">
        <v>102</v>
      </c>
      <c r="B37" s="4"/>
      <c r="C37" s="111">
        <v>20</v>
      </c>
      <c r="D37" s="4" t="s">
        <v>103</v>
      </c>
      <c r="E37" s="147">
        <v>0.13</v>
      </c>
      <c r="F37" s="148">
        <f>C37*E37*365</f>
        <v>949</v>
      </c>
      <c r="G37" s="25"/>
      <c r="H37" s="26"/>
    </row>
    <row r="38" spans="1:10" ht="13.5" thickBot="1">
      <c r="A38" s="27" t="s">
        <v>104</v>
      </c>
      <c r="B38" s="4"/>
      <c r="C38" s="4"/>
      <c r="D38" s="4"/>
      <c r="E38" s="4"/>
      <c r="F38" s="178">
        <v>450</v>
      </c>
      <c r="G38" s="25"/>
      <c r="H38" s="26"/>
      <c r="J38" s="177"/>
    </row>
    <row r="39" spans="1:8" ht="13.5" thickBot="1">
      <c r="A39" s="28" t="s">
        <v>46</v>
      </c>
      <c r="B39" s="6"/>
      <c r="C39" s="6"/>
      <c r="D39" s="6"/>
      <c r="E39" s="6"/>
      <c r="F39" s="6"/>
      <c r="G39" s="174">
        <f>SUM(F34:F38)</f>
        <v>2529</v>
      </c>
      <c r="H39" s="26"/>
    </row>
    <row r="40" spans="1:8" ht="13.5" thickBot="1">
      <c r="A40" s="30"/>
      <c r="B40" s="31"/>
      <c r="C40" s="31"/>
      <c r="D40" s="31"/>
      <c r="E40" s="31"/>
      <c r="F40" s="31"/>
      <c r="G40" s="31"/>
      <c r="H40" s="32"/>
    </row>
    <row r="41" ht="13.5" thickTop="1"/>
  </sheetData>
  <sheetProtection sheet="1"/>
  <mergeCells count="9">
    <mergeCell ref="A4:H4"/>
    <mergeCell ref="A14:H14"/>
    <mergeCell ref="A23:H23"/>
    <mergeCell ref="A32:H32"/>
    <mergeCell ref="A17:B17"/>
    <mergeCell ref="C5:D5"/>
    <mergeCell ref="C7:D7"/>
    <mergeCell ref="C8:D8"/>
    <mergeCell ref="C6:D6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6"/>
  <headerFooter alignWithMargins="0">
    <oddFooter>&amp;L&amp;F
Detailkalkulationen&amp;C&amp;D&amp;R&amp;P von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horizontalDpi="180" verticalDpi="18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LLA Weitau/St.Johann</dc:creator>
  <cp:keywords/>
  <dc:description/>
  <cp:lastModifiedBy>Schule</cp:lastModifiedBy>
  <cp:lastPrinted>2016-02-21T17:59:13Z</cp:lastPrinted>
  <dcterms:created xsi:type="dcterms:W3CDTF">2001-06-10T10:43:11Z</dcterms:created>
  <dcterms:modified xsi:type="dcterms:W3CDTF">2017-03-16T19:42:22Z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